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ngewandte Makroökonomie\personal_webpages\Harris Dellas\harrisdellas.net\50 19.06.2013wmp\teaching\doing16\session1\"/>
    </mc:Choice>
  </mc:AlternateContent>
  <bookViews>
    <workbookView xWindow="120" yWindow="120" windowWidth="15180" windowHeight="8835"/>
  </bookViews>
  <sheets>
    <sheet name="solution ex1" sheetId="5" r:id="rId1"/>
    <sheet name="solution ex2" sheetId="6" r:id="rId2"/>
    <sheet name="solution ex3" sheetId="1" r:id="rId3"/>
    <sheet name="Keynesian Cross" sheetId="4" r:id="rId4"/>
    <sheet name="IS-LM" sheetId="3" r:id="rId5"/>
    <sheet name="IS-LM with shifts" sheetId="2" r:id="rId6"/>
  </sheets>
  <definedNames>
    <definedName name="a" localSheetId="0">'solution ex1'!$D$16</definedName>
    <definedName name="a" localSheetId="1">'solution ex2'!$D$16</definedName>
    <definedName name="a">'solution ex3'!$D$16</definedName>
    <definedName name="b" localSheetId="0">'solution ex1'!$G$16</definedName>
    <definedName name="b" localSheetId="1">'solution ex2'!$G$16</definedName>
    <definedName name="b">'solution ex3'!$G$16</definedName>
    <definedName name="cinv" localSheetId="0">'solution ex1'!$D$19</definedName>
    <definedName name="cinv" localSheetId="1">'solution ex2'!$D$19</definedName>
    <definedName name="cinv">'solution ex3'!$D$19</definedName>
    <definedName name="cons" localSheetId="0">'solution ex1'!$D$19</definedName>
    <definedName name="cons" localSheetId="1">'solution ex2'!$D$19</definedName>
    <definedName name="cons">'solution ex3'!$D$19</definedName>
    <definedName name="d" localSheetId="0">'solution ex1'!$G$19</definedName>
    <definedName name="d" localSheetId="1">'solution ex2'!$G$19</definedName>
    <definedName name="d">'solution ex3'!$G$19</definedName>
    <definedName name="e" localSheetId="0">'solution ex1'!$D$22</definedName>
    <definedName name="e" localSheetId="1">'solution ex2'!$D$22</definedName>
    <definedName name="e">'solution ex3'!$D$22</definedName>
    <definedName name="f" localSheetId="0">'solution ex1'!$G$22</definedName>
    <definedName name="f" localSheetId="1">'solution ex2'!$G$22</definedName>
    <definedName name="f">'solution ex3'!$G$22</definedName>
    <definedName name="G" localSheetId="0">'solution ex1'!$D$8</definedName>
    <definedName name="G" localSheetId="1">'solution ex2'!$D$8</definedName>
    <definedName name="G">'solution ex3'!$D$8</definedName>
    <definedName name="Gprime" localSheetId="0">'solution ex1'!$G$8</definedName>
    <definedName name="Gprime" localSheetId="1">'solution ex2'!$G$8</definedName>
    <definedName name="Gprime">'solution ex3'!$G$8</definedName>
    <definedName name="IR" localSheetId="0">'solution ex1'!$C$35</definedName>
    <definedName name="IR" localSheetId="1">'solution ex2'!$C$35</definedName>
    <definedName name="IR">'solution ex3'!$C$35</definedName>
    <definedName name="IRprime" localSheetId="0">'solution ex1'!$E$35</definedName>
    <definedName name="IRprime" localSheetId="1">'solution ex2'!$E$35</definedName>
    <definedName name="IRprime">'solution ex3'!$E$35</definedName>
    <definedName name="M" localSheetId="0">'solution ex1'!$D$10</definedName>
    <definedName name="M" localSheetId="1">'solution ex2'!$D$10</definedName>
    <definedName name="M">'solution ex3'!$D$10</definedName>
    <definedName name="Mprime" localSheetId="0">'solution ex1'!$G$10</definedName>
    <definedName name="Mprime" localSheetId="1">'solution ex2'!$G$10</definedName>
    <definedName name="Mprime">'solution ex3'!$G$10</definedName>
    <definedName name="P" localSheetId="0">'solution ex1'!$D$13</definedName>
    <definedName name="P" localSheetId="1">'solution ex2'!$D$13</definedName>
    <definedName name="P">'solution ex3'!$D$13</definedName>
    <definedName name="_xlnm.Print_Area" localSheetId="0">'solution ex1'!$A$1:$P$49</definedName>
    <definedName name="_xlnm.Print_Area" localSheetId="1">'solution ex2'!$A$1:$P$49</definedName>
    <definedName name="_xlnm.Print_Area" localSheetId="2">'solution ex3'!$A$1:$P$49</definedName>
    <definedName name="T" localSheetId="0">'solution ex1'!$D$9</definedName>
    <definedName name="T" localSheetId="1">'solution ex2'!$D$9</definedName>
    <definedName name="T">'solution ex3'!$D$9</definedName>
    <definedName name="Tprime" localSheetId="0">'solution ex1'!$G$9</definedName>
    <definedName name="Tprime" localSheetId="1">'solution ex2'!$G$9</definedName>
    <definedName name="Tprime">'solution ex3'!$G$9</definedName>
    <definedName name="x" localSheetId="0">'solution ex1'!$D$24</definedName>
    <definedName name="x" localSheetId="1">'solution ex2'!$D$24</definedName>
    <definedName name="x">'solution ex3'!$D$24</definedName>
    <definedName name="Y" localSheetId="0">'solution ex1'!$C$32</definedName>
    <definedName name="Y" localSheetId="1">'solution ex2'!$C$32</definedName>
    <definedName name="Y">'solution ex3'!$C$32</definedName>
    <definedName name="Yprime" localSheetId="0">'solution ex1'!$E$32</definedName>
    <definedName name="Yprime" localSheetId="1">'solution ex2'!$E$32</definedName>
    <definedName name="Yprime">'solution ex3'!$E$32</definedName>
  </definedNames>
  <calcPr calcId="15251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7" i="1"/>
  <c r="M8" i="6"/>
  <c r="M9" i="6"/>
  <c r="M10" i="6"/>
  <c r="M11" i="6"/>
  <c r="M12" i="6"/>
  <c r="M13" i="6"/>
  <c r="M14" i="6"/>
  <c r="M15" i="6"/>
  <c r="M16" i="6"/>
  <c r="M17" i="6"/>
  <c r="M7" i="6"/>
  <c r="O32" i="6"/>
  <c r="L32" i="6"/>
  <c r="M32" i="6" s="1"/>
  <c r="N32" i="6" s="1"/>
  <c r="O31" i="6"/>
  <c r="L31" i="6"/>
  <c r="M31" i="6" s="1"/>
  <c r="N31" i="6" s="1"/>
  <c r="O30" i="6"/>
  <c r="L30" i="6"/>
  <c r="M30" i="6" s="1"/>
  <c r="N30" i="6" s="1"/>
  <c r="O29" i="6"/>
  <c r="L29" i="6"/>
  <c r="M29" i="6" s="1"/>
  <c r="N29" i="6" s="1"/>
  <c r="O28" i="6"/>
  <c r="L28" i="6"/>
  <c r="M28" i="6" s="1"/>
  <c r="N28" i="6" s="1"/>
  <c r="O27" i="6"/>
  <c r="L27" i="6"/>
  <c r="M27" i="6" s="1"/>
  <c r="N27" i="6" s="1"/>
  <c r="O26" i="6"/>
  <c r="L26" i="6"/>
  <c r="M26" i="6" s="1"/>
  <c r="N26" i="6" s="1"/>
  <c r="O25" i="6"/>
  <c r="L25" i="6"/>
  <c r="M25" i="6" s="1"/>
  <c r="N25" i="6" s="1"/>
  <c r="O24" i="6"/>
  <c r="L24" i="6"/>
  <c r="M24" i="6" s="1"/>
  <c r="N24" i="6" s="1"/>
  <c r="D24" i="6"/>
  <c r="C32" i="6" s="1"/>
  <c r="O23" i="6"/>
  <c r="L23" i="6"/>
  <c r="M23" i="6" s="1"/>
  <c r="N23" i="6" s="1"/>
  <c r="O22" i="6"/>
  <c r="L22" i="6"/>
  <c r="M22" i="6" s="1"/>
  <c r="N22" i="6" s="1"/>
  <c r="O17" i="6"/>
  <c r="L17" i="6"/>
  <c r="O16" i="6"/>
  <c r="L16" i="6"/>
  <c r="N16" i="6" s="1"/>
  <c r="O15" i="6"/>
  <c r="L15" i="6"/>
  <c r="N15" i="6" s="1"/>
  <c r="O14" i="6"/>
  <c r="L14" i="6"/>
  <c r="O13" i="6"/>
  <c r="L13" i="6"/>
  <c r="N13" i="6" s="1"/>
  <c r="O12" i="6"/>
  <c r="L12" i="6"/>
  <c r="O11" i="6"/>
  <c r="L11" i="6"/>
  <c r="O10" i="6"/>
  <c r="L10" i="6"/>
  <c r="O9" i="6"/>
  <c r="L9" i="6"/>
  <c r="N9" i="6" s="1"/>
  <c r="O8" i="6"/>
  <c r="L8" i="6"/>
  <c r="O7" i="6"/>
  <c r="L7" i="6"/>
  <c r="D24" i="5"/>
  <c r="C32" i="5" s="1"/>
  <c r="C33" i="5" s="1"/>
  <c r="N17" i="6" l="1"/>
  <c r="N11" i="6"/>
  <c r="N7" i="6"/>
  <c r="N10" i="6"/>
  <c r="N12" i="6"/>
  <c r="N14" i="6"/>
  <c r="N8" i="6"/>
  <c r="C35" i="6"/>
  <c r="C34" i="6" s="1"/>
  <c r="C33" i="6"/>
  <c r="C35" i="5"/>
  <c r="C34" i="5" s="1"/>
  <c r="O39" i="1"/>
  <c r="O40" i="1"/>
  <c r="O41" i="1"/>
  <c r="O42" i="1"/>
  <c r="O43" i="1"/>
  <c r="O44" i="1"/>
  <c r="O45" i="1"/>
  <c r="O46" i="1"/>
  <c r="O47" i="1"/>
  <c r="O48" i="1"/>
  <c r="O38" i="1"/>
  <c r="L39" i="1"/>
  <c r="M39" i="1" s="1"/>
  <c r="N39" i="1" s="1"/>
  <c r="L40" i="1"/>
  <c r="M40" i="1" s="1"/>
  <c r="N40" i="1" s="1"/>
  <c r="L41" i="1"/>
  <c r="M41" i="1" s="1"/>
  <c r="N41" i="1" s="1"/>
  <c r="L42" i="1"/>
  <c r="M42" i="1" s="1"/>
  <c r="N42" i="1" s="1"/>
  <c r="L43" i="1"/>
  <c r="M43" i="1" s="1"/>
  <c r="N43" i="1" s="1"/>
  <c r="L44" i="1"/>
  <c r="M44" i="1" s="1"/>
  <c r="N44" i="1" s="1"/>
  <c r="L45" i="1"/>
  <c r="M45" i="1" s="1"/>
  <c r="N45" i="1" s="1"/>
  <c r="L46" i="1"/>
  <c r="M46" i="1" s="1"/>
  <c r="N46" i="1" s="1"/>
  <c r="L47" i="1"/>
  <c r="M47" i="1" s="1"/>
  <c r="N47" i="1" s="1"/>
  <c r="L48" i="1"/>
  <c r="M48" i="1" s="1"/>
  <c r="N48" i="1" s="1"/>
  <c r="L38" i="1"/>
  <c r="M38" i="1" s="1"/>
  <c r="N38" i="1" s="1"/>
  <c r="D24" i="1"/>
  <c r="E32" i="1" s="1"/>
  <c r="E33" i="1" s="1"/>
  <c r="L22" i="1"/>
  <c r="M22" i="1" s="1"/>
  <c r="N22" i="1" s="1"/>
  <c r="L7" i="1"/>
  <c r="L23" i="1"/>
  <c r="M23" i="1" s="1"/>
  <c r="N23" i="1" s="1"/>
  <c r="L24" i="1"/>
  <c r="M24" i="1" s="1"/>
  <c r="N24" i="1" s="1"/>
  <c r="L25" i="1"/>
  <c r="M25" i="1" s="1"/>
  <c r="N25" i="1" s="1"/>
  <c r="L26" i="1"/>
  <c r="M26" i="1" s="1"/>
  <c r="N26" i="1" s="1"/>
  <c r="L27" i="1"/>
  <c r="M27" i="1" s="1"/>
  <c r="N27" i="1" s="1"/>
  <c r="L28" i="1"/>
  <c r="M28" i="1" s="1"/>
  <c r="N28" i="1" s="1"/>
  <c r="L29" i="1"/>
  <c r="M29" i="1" s="1"/>
  <c r="N29" i="1" s="1"/>
  <c r="L30" i="1"/>
  <c r="M30" i="1" s="1"/>
  <c r="N30" i="1" s="1"/>
  <c r="L31" i="1"/>
  <c r="M31" i="1" s="1"/>
  <c r="N31" i="1" s="1"/>
  <c r="L32" i="1"/>
  <c r="M32" i="1" s="1"/>
  <c r="N32" i="1" s="1"/>
  <c r="O23" i="1"/>
  <c r="O24" i="1"/>
  <c r="O25" i="1"/>
  <c r="O26" i="1"/>
  <c r="O27" i="1"/>
  <c r="O28" i="1"/>
  <c r="O29" i="1"/>
  <c r="O30" i="1"/>
  <c r="O31" i="1"/>
  <c r="O32" i="1"/>
  <c r="O22" i="1"/>
  <c r="L8" i="1"/>
  <c r="L9" i="1"/>
  <c r="L10" i="1"/>
  <c r="L11" i="1"/>
  <c r="L12" i="1"/>
  <c r="L13" i="1"/>
  <c r="L14" i="1"/>
  <c r="L15" i="1"/>
  <c r="L16" i="1"/>
  <c r="L17" i="1"/>
  <c r="O8" i="1"/>
  <c r="O9" i="1"/>
  <c r="O10" i="1"/>
  <c r="O11" i="1"/>
  <c r="O12" i="1"/>
  <c r="O13" i="1"/>
  <c r="O14" i="1"/>
  <c r="O15" i="1"/>
  <c r="O16" i="1"/>
  <c r="O17" i="1"/>
  <c r="O7" i="1"/>
  <c r="C32" i="1" l="1"/>
  <c r="C33" i="1" s="1"/>
  <c r="G33" i="1" s="1"/>
  <c r="E35" i="1"/>
  <c r="C35" i="1" l="1"/>
  <c r="G32" i="1"/>
  <c r="F33" i="1"/>
  <c r="F32" i="1"/>
  <c r="E34" i="1"/>
  <c r="N9" i="1"/>
  <c r="N11" i="1"/>
  <c r="N13" i="1"/>
  <c r="N15" i="1"/>
  <c r="N17" i="1"/>
  <c r="N8" i="1"/>
  <c r="N10" i="1"/>
  <c r="N12" i="1"/>
  <c r="N14" i="1"/>
  <c r="N16" i="1"/>
  <c r="N7" i="1"/>
  <c r="F35" i="1" l="1"/>
  <c r="E46" i="1"/>
  <c r="F46" i="1"/>
  <c r="G46" i="1"/>
  <c r="G35" i="1"/>
  <c r="C34" i="1"/>
  <c r="G34" i="1" s="1"/>
  <c r="F34" i="1" l="1"/>
</calcChain>
</file>

<file path=xl/sharedStrings.xml><?xml version="1.0" encoding="utf-8"?>
<sst xmlns="http://schemas.openxmlformats.org/spreadsheetml/2006/main" count="163" uniqueCount="67">
  <si>
    <t>A Closed Economy in the Short-Run: The Simple IS-LM Model</t>
  </si>
  <si>
    <t>Model Specification</t>
  </si>
  <si>
    <t>policy variables</t>
  </si>
  <si>
    <t>government expenditure</t>
  </si>
  <si>
    <t>tax</t>
  </si>
  <si>
    <t>money supply</t>
  </si>
  <si>
    <t>short-run fixed variables</t>
  </si>
  <si>
    <t>price level</t>
  </si>
  <si>
    <t>consumption function</t>
  </si>
  <si>
    <t>investment function</t>
  </si>
  <si>
    <t>I = c - d * R</t>
  </si>
  <si>
    <t>C = a + b * (Y-T)</t>
  </si>
  <si>
    <t>money demand</t>
  </si>
  <si>
    <t>M / P = e * Y - f * R</t>
  </si>
  <si>
    <t>G =</t>
  </si>
  <si>
    <t>T =</t>
  </si>
  <si>
    <t>M =</t>
  </si>
  <si>
    <t>P =</t>
  </si>
  <si>
    <t>a =</t>
  </si>
  <si>
    <t>b =</t>
  </si>
  <si>
    <t>d =</t>
  </si>
  <si>
    <t>e =</t>
  </si>
  <si>
    <t>f =</t>
  </si>
  <si>
    <t>Short-Run Equilibrium</t>
  </si>
  <si>
    <t>Production</t>
  </si>
  <si>
    <t>Consumption</t>
  </si>
  <si>
    <t>Investment</t>
  </si>
  <si>
    <t>Interest Rate</t>
  </si>
  <si>
    <t>Mankiw (1997)</t>
  </si>
  <si>
    <t>Table 1: Keynesian Cross</t>
  </si>
  <si>
    <t>Y</t>
  </si>
  <si>
    <t>C</t>
  </si>
  <si>
    <t>I</t>
  </si>
  <si>
    <t>45°-Line</t>
  </si>
  <si>
    <t>E</t>
  </si>
  <si>
    <t>R(IS)</t>
  </si>
  <si>
    <t>R(LM)</t>
  </si>
  <si>
    <t>Table 2: IS and LM Curve</t>
  </si>
  <si>
    <t>x =</t>
  </si>
  <si>
    <t>extra term (simplification)</t>
  </si>
  <si>
    <t>(Exercise 1)</t>
  </si>
  <si>
    <t>(Exercise 2)</t>
  </si>
  <si>
    <t>new</t>
  </si>
  <si>
    <t>old</t>
  </si>
  <si>
    <t>change</t>
  </si>
  <si>
    <t>(Exercise 3)</t>
  </si>
  <si>
    <t>cinv =</t>
  </si>
  <si>
    <t>M'=</t>
  </si>
  <si>
    <t>T'=</t>
  </si>
  <si>
    <t>G'=</t>
  </si>
  <si>
    <t>absolute</t>
  </si>
  <si>
    <t>%</t>
  </si>
  <si>
    <t>(Exercise 1 and 3)</t>
  </si>
  <si>
    <t>Exercise 3</t>
  </si>
  <si>
    <t>Table 3: IS and LM Curve change</t>
  </si>
  <si>
    <t>Y =</t>
  </si>
  <si>
    <t>C =</t>
  </si>
  <si>
    <t>I =</t>
  </si>
  <si>
    <t>IR =</t>
  </si>
  <si>
    <t>Y'=</t>
  </si>
  <si>
    <t>C'=</t>
  </si>
  <si>
    <t>I'=</t>
  </si>
  <si>
    <t>R'=</t>
  </si>
  <si>
    <t>Exercise 1</t>
  </si>
  <si>
    <t xml:space="preserve">Auxiliary 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</si>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</sst>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" fillId="2" borderId="0" xfId="0" applyFont="1" applyFill="1" applyBorder="1"/>
    <xf numFmtId="0" fontId="0" fillId="0" borderId="12" xfId="0" applyFill="1" applyBorder="1"/>
    <xf numFmtId="0" fontId="0" fillId="0" borderId="5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165" fontId="0" fillId="0" borderId="9" xfId="0" applyNumberFormat="1" applyFill="1" applyBorder="1"/>
    <xf numFmtId="165" fontId="0" fillId="0" borderId="10" xfId="0" applyNumberFormat="1" applyFill="1" applyBorder="1"/>
    <xf numFmtId="165" fontId="0" fillId="0" borderId="13" xfId="0" applyNumberFormat="1" applyFill="1" applyBorder="1"/>
    <xf numFmtId="0" fontId="0" fillId="0" borderId="11" xfId="0" applyBorder="1"/>
    <xf numFmtId="0" fontId="0" fillId="3" borderId="11" xfId="0" applyFill="1" applyBorder="1"/>
    <xf numFmtId="10" fontId="0" fillId="3" borderId="11" xfId="0" applyNumberFormat="1" applyFill="1" applyBorder="1"/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2" fillId="4" borderId="11" xfId="0" applyFont="1" applyFill="1" applyBorder="1"/>
    <xf numFmtId="10" fontId="2" fillId="4" borderId="11" xfId="0" applyNumberFormat="1" applyFont="1" applyFill="1" applyBorder="1"/>
    <xf numFmtId="0" fontId="2" fillId="3" borderId="10" xfId="0" applyFont="1" applyFill="1" applyBorder="1"/>
    <xf numFmtId="0" fontId="0" fillId="3" borderId="10" xfId="0" applyFill="1" applyBorder="1"/>
    <xf numFmtId="0" fontId="6" fillId="3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0" fillId="3" borderId="10" xfId="0" applyNumberFormat="1" applyFill="1" applyBorder="1"/>
    <xf numFmtId="165" fontId="0" fillId="3" borderId="11" xfId="0" applyNumberFormat="1" applyFill="1" applyBorder="1"/>
    <xf numFmtId="0" fontId="0" fillId="3" borderId="6" xfId="0" applyFill="1" applyBorder="1" applyAlignment="1">
      <alignment horizontal="right"/>
    </xf>
    <xf numFmtId="0" fontId="0" fillId="4" borderId="0" xfId="0" applyFill="1" applyBorder="1"/>
    <xf numFmtId="0" fontId="0" fillId="3" borderId="11" xfId="0" applyFill="1" applyBorder="1" applyAlignment="1">
      <alignment horizontal="right"/>
    </xf>
    <xf numFmtId="0" fontId="0" fillId="4" borderId="7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165" fontId="0" fillId="0" borderId="1" xfId="0" applyNumberFormat="1" applyFill="1" applyBorder="1"/>
    <xf numFmtId="165" fontId="0" fillId="0" borderId="4" xfId="0" applyNumberFormat="1" applyFill="1" applyBorder="1"/>
    <xf numFmtId="165" fontId="0" fillId="0" borderId="6" xfId="0" applyNumberFormat="1" applyFill="1" applyBorder="1"/>
    <xf numFmtId="0" fontId="0" fillId="0" borderId="3" xfId="0" applyFill="1" applyBorder="1"/>
    <xf numFmtId="0" fontId="0" fillId="0" borderId="13" xfId="0" applyFill="1" applyBorder="1"/>
    <xf numFmtId="0" fontId="2" fillId="4" borderId="0" xfId="0" applyFont="1" applyFill="1" applyBorder="1"/>
    <xf numFmtId="0" fontId="2" fillId="4" borderId="1" xfId="0" applyFont="1" applyFill="1" applyBorder="1"/>
    <xf numFmtId="165" fontId="0" fillId="4" borderId="0" xfId="0" applyNumberFormat="1" applyFill="1" applyBorder="1"/>
    <xf numFmtId="0" fontId="3" fillId="4" borderId="0" xfId="0" applyFont="1" applyFill="1" applyBorder="1"/>
    <xf numFmtId="0" fontId="1" fillId="4" borderId="1" xfId="0" applyFont="1" applyFill="1" applyBorder="1"/>
    <xf numFmtId="0" fontId="5" fillId="2" borderId="4" xfId="0" applyFont="1" applyFill="1" applyBorder="1"/>
    <xf numFmtId="0" fontId="2" fillId="4" borderId="5" xfId="0" applyFont="1" applyFill="1" applyBorder="1"/>
    <xf numFmtId="0" fontId="7" fillId="4" borderId="4" xfId="0" applyFont="1" applyFill="1" applyBorder="1"/>
    <xf numFmtId="0" fontId="7" fillId="4" borderId="0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Keynesian Cross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'solution ex3'!$K$7:$K$17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xVal>
          <c:yVal>
            <c:numRef>
              <c:f>'solution ex3'!$N$7:$N$17</c:f>
              <c:numCache>
                <c:formatCode>0.0</c:formatCode>
                <c:ptCount val="11"/>
                <c:pt idx="0">
                  <c:v>269.67948717948718</c:v>
                </c:pt>
                <c:pt idx="1">
                  <c:v>284.5128205128205</c:v>
                </c:pt>
                <c:pt idx="2">
                  <c:v>299.34615384615381</c:v>
                </c:pt>
                <c:pt idx="3">
                  <c:v>314.17948717948718</c:v>
                </c:pt>
                <c:pt idx="4">
                  <c:v>329.0128205128205</c:v>
                </c:pt>
                <c:pt idx="5">
                  <c:v>343.84615384615381</c:v>
                </c:pt>
                <c:pt idx="6">
                  <c:v>358.67948717948718</c:v>
                </c:pt>
                <c:pt idx="7">
                  <c:v>373.5128205128205</c:v>
                </c:pt>
                <c:pt idx="8">
                  <c:v>388.34615384615381</c:v>
                </c:pt>
                <c:pt idx="9">
                  <c:v>403.17948717948718</c:v>
                </c:pt>
                <c:pt idx="10">
                  <c:v>418.0128205128205</c:v>
                </c:pt>
              </c:numCache>
            </c:numRef>
          </c:yVal>
          <c:smooth val="0"/>
        </c:ser>
        <c:ser>
          <c:idx val="1"/>
          <c:order val="1"/>
          <c:tx>
            <c:v>45°-Line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'solution ex3'!$K$7:$K$17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xVal>
          <c:yVal>
            <c:numRef>
              <c:f>'solution ex3'!$O$7:$O$17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087536"/>
        <c:axId val="245081656"/>
      </c:scatterChart>
      <c:valAx>
        <c:axId val="24508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Y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081656"/>
        <c:crosses val="autoZero"/>
        <c:crossBetween val="midCat"/>
      </c:valAx>
      <c:valAx>
        <c:axId val="2450816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087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IS-LM curves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'solution ex3'!$K$22:$K$32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xVal>
          <c:yVal>
            <c:numRef>
              <c:f>'solution ex3'!$N$22:$N$32</c:f>
              <c:numCache>
                <c:formatCode>0.0%</c:formatCode>
                <c:ptCount val="11"/>
                <c:pt idx="0">
                  <c:v>0.105</c:v>
                </c:pt>
                <c:pt idx="1">
                  <c:v>9.2666666666666661E-2</c:v>
                </c:pt>
                <c:pt idx="2">
                  <c:v>8.033333333333334E-2</c:v>
                </c:pt>
                <c:pt idx="3">
                  <c:v>6.8000000000000005E-2</c:v>
                </c:pt>
                <c:pt idx="4">
                  <c:v>5.566666666666667E-2</c:v>
                </c:pt>
                <c:pt idx="5">
                  <c:v>4.3333333333333335E-2</c:v>
                </c:pt>
                <c:pt idx="6">
                  <c:v>3.1E-2</c:v>
                </c:pt>
                <c:pt idx="7">
                  <c:v>1.8666666666666668E-2</c:v>
                </c:pt>
                <c:pt idx="8">
                  <c:v>6.3333333333333332E-3</c:v>
                </c:pt>
                <c:pt idx="9">
                  <c:v>-6.0000000000000001E-3</c:v>
                </c:pt>
                <c:pt idx="10">
                  <c:v>-1.8333333333333333E-2</c:v>
                </c:pt>
              </c:numCache>
            </c:numRef>
          </c:yVal>
          <c:smooth val="0"/>
        </c:ser>
        <c:ser>
          <c:idx val="1"/>
          <c:order val="1"/>
          <c:tx>
            <c:v>LM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'solution ex3'!$K$22:$K$32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xVal>
          <c:yVal>
            <c:numRef>
              <c:f>'solution ex3'!$O$22:$O$32</c:f>
              <c:numCache>
                <c:formatCode>0.0%</c:formatCode>
                <c:ptCount val="11"/>
                <c:pt idx="0">
                  <c:v>-7.478632478632477E-2</c:v>
                </c:pt>
                <c:pt idx="1">
                  <c:v>-6.3675213675213657E-2</c:v>
                </c:pt>
                <c:pt idx="2">
                  <c:v>-5.2564102564102551E-2</c:v>
                </c:pt>
                <c:pt idx="3">
                  <c:v>-4.1452991452991438E-2</c:v>
                </c:pt>
                <c:pt idx="4">
                  <c:v>-3.0341880341880331E-2</c:v>
                </c:pt>
                <c:pt idx="5">
                  <c:v>-1.9230769230769218E-2</c:v>
                </c:pt>
                <c:pt idx="6">
                  <c:v>-8.1196581196581047E-3</c:v>
                </c:pt>
                <c:pt idx="7">
                  <c:v>2.9914529914529947E-3</c:v>
                </c:pt>
                <c:pt idx="8">
                  <c:v>1.4102564102564108E-2</c:v>
                </c:pt>
                <c:pt idx="9">
                  <c:v>2.5213675213675221E-2</c:v>
                </c:pt>
                <c:pt idx="10">
                  <c:v>3.6324786324786335E-2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895336"/>
        <c:axId val="440895728"/>
      </c:scatterChart>
      <c:valAx>
        <c:axId val="440895336"/>
        <c:scaling>
          <c:orientation val="minMax"/>
          <c:max val="500"/>
          <c:min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Y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0895728"/>
        <c:crossesAt val="-0.1"/>
        <c:crossBetween val="midCat"/>
      </c:valAx>
      <c:valAx>
        <c:axId val="440895728"/>
        <c:scaling>
          <c:orientation val="minMax"/>
          <c:max val="0.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0895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IS-LM curves with shifts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'solution ex3'!$K$22:$K$32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xVal>
          <c:yVal>
            <c:numRef>
              <c:f>'solution ex3'!$N$22:$N$32</c:f>
              <c:numCache>
                <c:formatCode>0.0%</c:formatCode>
                <c:ptCount val="11"/>
                <c:pt idx="0">
                  <c:v>0.105</c:v>
                </c:pt>
                <c:pt idx="1">
                  <c:v>9.2666666666666661E-2</c:v>
                </c:pt>
                <c:pt idx="2">
                  <c:v>8.033333333333334E-2</c:v>
                </c:pt>
                <c:pt idx="3">
                  <c:v>6.8000000000000005E-2</c:v>
                </c:pt>
                <c:pt idx="4">
                  <c:v>5.566666666666667E-2</c:v>
                </c:pt>
                <c:pt idx="5">
                  <c:v>4.3333333333333335E-2</c:v>
                </c:pt>
                <c:pt idx="6">
                  <c:v>3.1E-2</c:v>
                </c:pt>
                <c:pt idx="7">
                  <c:v>1.8666666666666668E-2</c:v>
                </c:pt>
                <c:pt idx="8">
                  <c:v>6.3333333333333332E-3</c:v>
                </c:pt>
                <c:pt idx="9">
                  <c:v>-6.0000000000000001E-3</c:v>
                </c:pt>
                <c:pt idx="10">
                  <c:v>-1.8333333333333333E-2</c:v>
                </c:pt>
              </c:numCache>
            </c:numRef>
          </c:yVal>
          <c:smooth val="0"/>
        </c:ser>
        <c:ser>
          <c:idx val="1"/>
          <c:order val="1"/>
          <c:tx>
            <c:v>LM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'solution ex3'!$K$22:$K$32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xVal>
          <c:yVal>
            <c:numRef>
              <c:f>'solution ex3'!$O$22:$O$32</c:f>
              <c:numCache>
                <c:formatCode>0.0%</c:formatCode>
                <c:ptCount val="11"/>
                <c:pt idx="0">
                  <c:v>-7.478632478632477E-2</c:v>
                </c:pt>
                <c:pt idx="1">
                  <c:v>-6.3675213675213657E-2</c:v>
                </c:pt>
                <c:pt idx="2">
                  <c:v>-5.2564102564102551E-2</c:v>
                </c:pt>
                <c:pt idx="3">
                  <c:v>-4.1452991452991438E-2</c:v>
                </c:pt>
                <c:pt idx="4">
                  <c:v>-3.0341880341880331E-2</c:v>
                </c:pt>
                <c:pt idx="5">
                  <c:v>-1.9230769230769218E-2</c:v>
                </c:pt>
                <c:pt idx="6">
                  <c:v>-8.1196581196581047E-3</c:v>
                </c:pt>
                <c:pt idx="7">
                  <c:v>2.9914529914529947E-3</c:v>
                </c:pt>
                <c:pt idx="8">
                  <c:v>1.4102564102564108E-2</c:v>
                </c:pt>
                <c:pt idx="9">
                  <c:v>2.5213675213675221E-2</c:v>
                </c:pt>
                <c:pt idx="10">
                  <c:v>3.6324786324786335E-2</c:v>
                </c:pt>
              </c:numCache>
            </c:numRef>
          </c:yVal>
          <c:smooth val="0"/>
        </c:ser>
        <c:ser>
          <c:idx val="2"/>
          <c:order val="2"/>
          <c:tx>
            <c:v>IS'</c:v>
          </c:tx>
          <c:marker>
            <c:symbol val="none"/>
          </c:marker>
          <c:xVal>
            <c:numRef>
              <c:f>'solution ex3'!$K$38:$K$48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xVal>
          <c:yVal>
            <c:numRef>
              <c:f>'solution ex3'!$N$38:$N$48</c:f>
              <c:numCache>
                <c:formatCode>0.0%</c:formatCode>
                <c:ptCount val="11"/>
                <c:pt idx="0">
                  <c:v>0.13833333333333334</c:v>
                </c:pt>
                <c:pt idx="1">
                  <c:v>0.126</c:v>
                </c:pt>
                <c:pt idx="2">
                  <c:v>0.11366666666666667</c:v>
                </c:pt>
                <c:pt idx="3">
                  <c:v>0.10133333333333333</c:v>
                </c:pt>
                <c:pt idx="4">
                  <c:v>8.8999999999999996E-2</c:v>
                </c:pt>
                <c:pt idx="5">
                  <c:v>7.6666666666666661E-2</c:v>
                </c:pt>
                <c:pt idx="6">
                  <c:v>6.433333333333334E-2</c:v>
                </c:pt>
                <c:pt idx="7">
                  <c:v>5.1999999999999998E-2</c:v>
                </c:pt>
                <c:pt idx="8">
                  <c:v>3.966666666666667E-2</c:v>
                </c:pt>
                <c:pt idx="9">
                  <c:v>2.7333333333333334E-2</c:v>
                </c:pt>
                <c:pt idx="10">
                  <c:v>1.4999999999999999E-2</c:v>
                </c:pt>
              </c:numCache>
            </c:numRef>
          </c:yVal>
          <c:smooth val="0"/>
        </c:ser>
        <c:ser>
          <c:idx val="3"/>
          <c:order val="3"/>
          <c:tx>
            <c:v>LM'</c:v>
          </c:tx>
          <c:marker>
            <c:symbol val="none"/>
          </c:marker>
          <c:xVal>
            <c:numRef>
              <c:f>'solution ex3'!$K$38:$K$48</c:f>
              <c:numCache>
                <c:formatCode>General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xVal>
          <c:yVal>
            <c:numRef>
              <c:f>'solution ex3'!$O$38:$O$48</c:f>
              <c:numCache>
                <c:formatCode>0.0%</c:formatCode>
                <c:ptCount val="11"/>
                <c:pt idx="0">
                  <c:v>-7.478632478632477E-2</c:v>
                </c:pt>
                <c:pt idx="1">
                  <c:v>-6.3675213675213657E-2</c:v>
                </c:pt>
                <c:pt idx="2">
                  <c:v>-5.2564102564102551E-2</c:v>
                </c:pt>
                <c:pt idx="3">
                  <c:v>-4.1452991452991438E-2</c:v>
                </c:pt>
                <c:pt idx="4">
                  <c:v>-3.0341880341880331E-2</c:v>
                </c:pt>
                <c:pt idx="5">
                  <c:v>-1.9230769230769218E-2</c:v>
                </c:pt>
                <c:pt idx="6">
                  <c:v>-8.1196581196581047E-3</c:v>
                </c:pt>
                <c:pt idx="7">
                  <c:v>2.9914529914529947E-3</c:v>
                </c:pt>
                <c:pt idx="8">
                  <c:v>1.4102564102564108E-2</c:v>
                </c:pt>
                <c:pt idx="9">
                  <c:v>2.5213675213675221E-2</c:v>
                </c:pt>
                <c:pt idx="10">
                  <c:v>3.6324786324786335E-2</c:v>
                </c:pt>
              </c:numCache>
            </c:numRef>
          </c:yVal>
          <c:smooth val="0"/>
        </c:ser>
        <c:ser>
          <c:idx val="4"/>
          <c:order val="4"/>
          <c:tx>
            <c:v>Equilibrium</c:v>
          </c:tx>
          <c:spPr>
            <a:ln w="3175"/>
          </c:spPr>
          <c:marker>
            <c:symbol val="none"/>
          </c:marker>
          <c:xVal>
            <c:numRef>
              <c:f>'solution ex3'!$B$45:$G$45</c:f>
              <c:numCache>
                <c:formatCode>General</c:formatCode>
                <c:ptCount val="6"/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'solution ex3'!$B$46:$G$46</c:f>
              <c:numCache>
                <c:formatCode>General</c:formatCode>
                <c:ptCount val="6"/>
                <c:pt idx="3">
                  <c:v>1.0420464211933406E-2</c:v>
                </c:pt>
                <c:pt idx="4">
                  <c:v>1.0420464211933406E-2</c:v>
                </c:pt>
                <c:pt idx="5">
                  <c:v>1.0420464211933406E-2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896512"/>
        <c:axId val="440896904"/>
      </c:scatterChart>
      <c:valAx>
        <c:axId val="440896512"/>
        <c:scaling>
          <c:orientation val="minMax"/>
          <c:max val="500"/>
          <c:min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Y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0896904"/>
        <c:crossesAt val="-0.1"/>
        <c:crossBetween val="midCat"/>
      </c:valAx>
      <c:valAx>
        <c:axId val="440896904"/>
        <c:scaling>
          <c:orientation val="minMax"/>
          <c:max val="0.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0896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034" cy="60905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0.10452</cdr:x>
      <cdr:y>0.4265</cdr:y>
    </cdr:from>
    <cdr:to>
      <cdr:x>0.23626</cdr:x>
      <cdr:y>0.63641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766" y="2594043"/>
          <a:ext cx="1226090" cy="127675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/>
            <a:t>Firms can sell more than they produce,</a:t>
          </a:r>
        </a:p>
        <a:p xmlns:a="http://schemas.openxmlformats.org/drawingml/2006/main">
          <a:r>
            <a:rPr lang="de-CH" sz="1100"/>
            <a:t>inventories decrease as long as equilibrium is reached</a:t>
          </a:r>
        </a:p>
      </cdr:txBody>
    </cdr:sp>
  </cdr:relSizeAnchor>
  <cdr:relSizeAnchor xmlns:cdr="http://schemas.openxmlformats.org/drawingml/2006/chartDrawing">
    <cdr:from>
      <cdr:x>0.63322</cdr:x>
      <cdr:y>0.41627</cdr:y>
    </cdr:from>
    <cdr:to>
      <cdr:x>0.76496</cdr:x>
      <cdr:y>0.66784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5893351" y="2531834"/>
          <a:ext cx="1226099" cy="1530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rgbClr val="C0504D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CH" sz="1100"/>
            <a:t>Firms sell less than they produce, inventories</a:t>
          </a:r>
        </a:p>
        <a:p xmlns:a="http://schemas.openxmlformats.org/drawingml/2006/main">
          <a:r>
            <a:rPr lang="de-CH" sz="1100"/>
            <a:t>increase, firms reduce employment and lower production.</a:t>
          </a:r>
        </a:p>
      </cdr:txBody>
    </cdr:sp>
  </cdr:relSizeAnchor>
  <cdr:relSizeAnchor xmlns:cdr="http://schemas.openxmlformats.org/drawingml/2006/chartDrawing">
    <cdr:from>
      <cdr:x>0.15125</cdr:x>
      <cdr:y>0.68486</cdr:y>
    </cdr:from>
    <cdr:to>
      <cdr:x>0.15142</cdr:x>
      <cdr:y>0.82313</cdr:y>
    </cdr:to>
    <cdr:sp macro="" textlink="">
      <cdr:nvSpPr>
        <cdr:cNvPr id="5" name="Gerade Verbindung mit Pfeil 4"/>
        <cdr:cNvSpPr/>
      </cdr:nvSpPr>
      <cdr:spPr bwMode="auto">
        <a:xfrm xmlns:a="http://schemas.openxmlformats.org/drawingml/2006/main" rot="5400000" flipH="1" flipV="1">
          <a:off x="1407690" y="4165448"/>
          <a:ext cx="1589" cy="84103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0.15243</cdr:x>
      <cdr:y>0.68639</cdr:y>
    </cdr:from>
    <cdr:to>
      <cdr:x>0.28525</cdr:x>
      <cdr:y>0.68665</cdr:y>
    </cdr:to>
    <cdr:sp macro="" textlink="">
      <cdr:nvSpPr>
        <cdr:cNvPr id="7" name="Gerade Verbindung mit Pfeil 6"/>
        <cdr:cNvSpPr/>
      </cdr:nvSpPr>
      <cdr:spPr bwMode="auto">
        <a:xfrm xmlns:a="http://schemas.openxmlformats.org/drawingml/2006/main">
          <a:off x="1418617" y="4174787"/>
          <a:ext cx="1236223" cy="158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0.28735</cdr:x>
      <cdr:y>0.63488</cdr:y>
    </cdr:from>
    <cdr:to>
      <cdr:x>0.28752</cdr:x>
      <cdr:y>0.68819</cdr:y>
    </cdr:to>
    <cdr:sp macro="" textlink="">
      <cdr:nvSpPr>
        <cdr:cNvPr id="9" name="Gerade Verbindung mit Pfeil 8"/>
        <cdr:cNvSpPr/>
      </cdr:nvSpPr>
      <cdr:spPr bwMode="auto">
        <a:xfrm xmlns:a="http://schemas.openxmlformats.org/drawingml/2006/main" rot="5400000" flipH="1" flipV="1">
          <a:off x="2674312" y="3861459"/>
          <a:ext cx="1589" cy="32425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0.28852</cdr:x>
      <cdr:y>0.63808</cdr:y>
    </cdr:from>
    <cdr:to>
      <cdr:x>0.32989</cdr:x>
      <cdr:y>0.63834</cdr:y>
    </cdr:to>
    <cdr:sp macro="" textlink="">
      <cdr:nvSpPr>
        <cdr:cNvPr id="11" name="Gerade Verbindung mit Pfeil 10"/>
        <cdr:cNvSpPr/>
      </cdr:nvSpPr>
      <cdr:spPr bwMode="auto">
        <a:xfrm xmlns:a="http://schemas.openxmlformats.org/drawingml/2006/main">
          <a:off x="2685239" y="3880931"/>
          <a:ext cx="385054" cy="158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0.64493</cdr:x>
      <cdr:y>0.32118</cdr:y>
    </cdr:from>
    <cdr:to>
      <cdr:x>0.81913</cdr:x>
      <cdr:y>0.32144</cdr:y>
    </cdr:to>
    <cdr:sp macro="" textlink="">
      <cdr:nvSpPr>
        <cdr:cNvPr id="13" name="Gerade Verbindung mit Pfeil 12"/>
        <cdr:cNvSpPr/>
      </cdr:nvSpPr>
      <cdr:spPr bwMode="auto">
        <a:xfrm xmlns:a="http://schemas.openxmlformats.org/drawingml/2006/main" rot="10800000">
          <a:off x="6002334" y="1953500"/>
          <a:ext cx="1621272" cy="158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0.64278</cdr:x>
      <cdr:y>0.32418</cdr:y>
    </cdr:from>
    <cdr:to>
      <cdr:x>0.64295</cdr:x>
      <cdr:y>0.3725</cdr:y>
    </cdr:to>
    <cdr:sp macro="" textlink="">
      <cdr:nvSpPr>
        <cdr:cNvPr id="15" name="Gerade Verbindung mit Pfeil 14"/>
        <cdr:cNvSpPr/>
      </cdr:nvSpPr>
      <cdr:spPr bwMode="auto">
        <a:xfrm xmlns:a="http://schemas.openxmlformats.org/drawingml/2006/main" rot="5400000">
          <a:off x="5836176" y="2117870"/>
          <a:ext cx="293894" cy="1582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0.59248</cdr:x>
      <cdr:y>0.3719</cdr:y>
    </cdr:from>
    <cdr:to>
      <cdr:x>0.64257</cdr:x>
      <cdr:y>0.37216</cdr:y>
    </cdr:to>
    <cdr:sp macro="" textlink="">
      <cdr:nvSpPr>
        <cdr:cNvPr id="17" name="Gerade Verbindung mit Pfeil 16"/>
        <cdr:cNvSpPr/>
      </cdr:nvSpPr>
      <cdr:spPr bwMode="auto">
        <a:xfrm xmlns:a="http://schemas.openxmlformats.org/drawingml/2006/main" rot="10800000">
          <a:off x="5514167" y="2261986"/>
          <a:ext cx="466186" cy="158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034" cy="60905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034" cy="60905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5" zoomScaleNormal="115" zoomScaleSheetLayoutView="85" workbookViewId="0">
      <selection activeCell="C32" sqref="C32"/>
    </sheetView>
  </sheetViews>
  <sheetFormatPr defaultColWidth="11.5703125" defaultRowHeight="12.75" x14ac:dyDescent="0.2"/>
  <cols>
    <col min="1" max="1" width="11.5703125" customWidth="1"/>
    <col min="2" max="2" width="13.140625" customWidth="1"/>
    <col min="3" max="3" width="6.42578125" customWidth="1"/>
    <col min="4" max="4" width="6.5703125" customWidth="1"/>
    <col min="5" max="5" width="5.7109375" customWidth="1"/>
    <col min="6" max="6" width="8.140625" customWidth="1"/>
    <col min="7" max="7" width="6.5703125" customWidth="1"/>
    <col min="8" max="8" width="1.7109375" customWidth="1"/>
    <col min="9" max="9" width="3.42578125" customWidth="1"/>
    <col min="10" max="10" width="12" bestFit="1" customWidth="1"/>
    <col min="11" max="14" width="9.7109375" customWidth="1"/>
    <col min="15" max="15" width="7.7109375" bestFit="1" customWidth="1"/>
    <col min="16" max="16" width="7" customWidth="1"/>
    <col min="17" max="17" width="9.7109375" customWidth="1"/>
  </cols>
  <sheetData>
    <row r="1" spans="1:16" ht="18" x14ac:dyDescent="0.25">
      <c r="A1" s="6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">
      <c r="A2" s="4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0"/>
    </row>
    <row r="3" spans="1:16" x14ac:dyDescent="0.2">
      <c r="A3" s="57" t="s">
        <v>63</v>
      </c>
      <c r="B3" s="47"/>
      <c r="C3" s="47"/>
      <c r="D3" s="47"/>
      <c r="E3" s="47"/>
      <c r="F3" s="47"/>
      <c r="G3" s="47"/>
      <c r="H3" s="48"/>
      <c r="I3" s="42"/>
      <c r="J3" s="42"/>
      <c r="K3" s="56"/>
      <c r="L3" s="42"/>
      <c r="M3" s="42"/>
      <c r="N3" s="42"/>
      <c r="O3" s="42"/>
      <c r="P3" s="50"/>
    </row>
    <row r="4" spans="1:16" x14ac:dyDescent="0.2">
      <c r="A4" s="7"/>
      <c r="B4" s="5"/>
      <c r="C4" s="5"/>
      <c r="D4" s="5"/>
      <c r="E4" s="5"/>
      <c r="F4" s="5"/>
      <c r="G4" s="5"/>
      <c r="H4" s="6"/>
      <c r="I4" s="42"/>
      <c r="J4" s="42"/>
      <c r="K4" s="14"/>
      <c r="L4" s="5"/>
      <c r="M4" s="5"/>
      <c r="N4" s="5"/>
      <c r="O4" s="5"/>
      <c r="P4" s="50"/>
    </row>
    <row r="5" spans="1:16" x14ac:dyDescent="0.2">
      <c r="A5" s="61" t="s">
        <v>1</v>
      </c>
      <c r="B5" s="5"/>
      <c r="C5" s="5"/>
      <c r="D5" s="5" t="s">
        <v>28</v>
      </c>
      <c r="E5" s="5"/>
      <c r="F5" s="5"/>
      <c r="G5" s="5"/>
      <c r="H5" s="6"/>
      <c r="I5" s="42"/>
      <c r="J5" s="42"/>
      <c r="K5" s="42"/>
      <c r="L5" s="42"/>
      <c r="M5" s="42"/>
      <c r="N5" s="42"/>
      <c r="O5" s="42"/>
      <c r="P5" s="42"/>
    </row>
    <row r="6" spans="1:16" x14ac:dyDescent="0.2">
      <c r="A6" s="61"/>
      <c r="B6" s="5"/>
      <c r="C6" s="5"/>
      <c r="D6" s="5"/>
      <c r="E6" s="5"/>
      <c r="F6" s="5"/>
      <c r="G6" s="5"/>
      <c r="H6" s="6"/>
      <c r="I6" s="42"/>
      <c r="J6" s="42"/>
      <c r="K6" s="42"/>
      <c r="L6" s="42"/>
      <c r="M6" s="42"/>
      <c r="N6" s="42"/>
      <c r="O6" s="42"/>
      <c r="P6" s="42"/>
    </row>
    <row r="7" spans="1:16" x14ac:dyDescent="0.2">
      <c r="A7" s="7" t="s">
        <v>2</v>
      </c>
      <c r="B7" s="5"/>
      <c r="C7" s="5"/>
      <c r="D7" s="5"/>
      <c r="E7" s="42"/>
      <c r="F7" s="5"/>
      <c r="G7" s="5"/>
      <c r="H7" s="6"/>
      <c r="I7" s="42"/>
      <c r="J7" s="42"/>
      <c r="K7" s="42"/>
      <c r="L7" s="42"/>
      <c r="M7" s="42"/>
      <c r="N7" s="42"/>
      <c r="O7" s="42"/>
      <c r="P7" s="42"/>
    </row>
    <row r="8" spans="1:16" x14ac:dyDescent="0.2">
      <c r="A8" s="4" t="s">
        <v>3</v>
      </c>
      <c r="B8" s="5"/>
      <c r="C8" s="26" t="s">
        <v>14</v>
      </c>
      <c r="D8" s="13">
        <v>150</v>
      </c>
      <c r="E8" s="42"/>
      <c r="F8" s="5"/>
      <c r="G8" s="5"/>
      <c r="H8" s="6"/>
      <c r="I8" s="42"/>
      <c r="J8" s="42"/>
      <c r="K8" s="42"/>
      <c r="L8" s="42"/>
      <c r="M8" s="42"/>
      <c r="N8" s="42"/>
      <c r="O8" s="42"/>
      <c r="P8" s="42"/>
    </row>
    <row r="9" spans="1:16" x14ac:dyDescent="0.2">
      <c r="A9" s="4" t="s">
        <v>4</v>
      </c>
      <c r="B9" s="5"/>
      <c r="C9" s="26" t="s">
        <v>15</v>
      </c>
      <c r="D9" s="13">
        <v>150</v>
      </c>
      <c r="E9" s="42"/>
      <c r="F9" s="5"/>
      <c r="G9" s="5"/>
      <c r="H9" s="6"/>
      <c r="I9" s="42"/>
      <c r="J9" s="42"/>
      <c r="K9" s="42"/>
      <c r="L9" s="42"/>
      <c r="M9" s="42"/>
      <c r="N9" s="42"/>
      <c r="O9" s="42"/>
      <c r="P9" s="42"/>
    </row>
    <row r="10" spans="1:16" x14ac:dyDescent="0.2">
      <c r="A10" s="4" t="s">
        <v>5</v>
      </c>
      <c r="B10" s="5"/>
      <c r="C10" s="26" t="s">
        <v>16</v>
      </c>
      <c r="D10" s="13">
        <v>210</v>
      </c>
      <c r="E10" s="42"/>
      <c r="F10" s="5"/>
      <c r="G10" s="5"/>
      <c r="H10" s="6"/>
      <c r="I10" s="42"/>
      <c r="J10" s="42"/>
      <c r="K10" s="42"/>
      <c r="L10" s="42"/>
      <c r="M10" s="42"/>
      <c r="N10" s="42"/>
      <c r="O10" s="42"/>
      <c r="P10" s="42"/>
    </row>
    <row r="11" spans="1:16" x14ac:dyDescent="0.2">
      <c r="A11" s="4"/>
      <c r="B11" s="5"/>
      <c r="C11" s="5"/>
      <c r="D11" s="5"/>
      <c r="E11" s="42"/>
      <c r="F11" s="5"/>
      <c r="G11" s="5"/>
      <c r="H11" s="6"/>
      <c r="I11" s="42"/>
      <c r="J11" s="42"/>
      <c r="K11" s="42"/>
      <c r="L11" s="42"/>
      <c r="M11" s="42"/>
      <c r="N11" s="42"/>
      <c r="O11" s="42"/>
      <c r="P11" s="42"/>
    </row>
    <row r="12" spans="1:16" x14ac:dyDescent="0.2">
      <c r="A12" s="7" t="s">
        <v>6</v>
      </c>
      <c r="B12" s="5"/>
      <c r="C12" s="5"/>
      <c r="D12" s="5"/>
      <c r="E12" s="5"/>
      <c r="F12" s="5"/>
      <c r="G12" s="5"/>
      <c r="H12" s="6"/>
      <c r="I12" s="42"/>
      <c r="J12" s="42"/>
      <c r="K12" s="42"/>
      <c r="L12" s="42"/>
      <c r="M12" s="42"/>
      <c r="N12" s="42"/>
      <c r="O12" s="42"/>
      <c r="P12" s="42"/>
    </row>
    <row r="13" spans="1:16" x14ac:dyDescent="0.2">
      <c r="A13" s="4" t="s">
        <v>7</v>
      </c>
      <c r="B13" s="5"/>
      <c r="C13" s="26" t="s">
        <v>17</v>
      </c>
      <c r="D13" s="13">
        <v>1.04</v>
      </c>
      <c r="E13" s="5"/>
      <c r="F13" s="5"/>
      <c r="G13" s="5"/>
      <c r="H13" s="6"/>
      <c r="I13" s="42"/>
      <c r="J13" s="42"/>
      <c r="K13" s="42"/>
      <c r="L13" s="42"/>
      <c r="M13" s="42"/>
      <c r="N13" s="42"/>
      <c r="O13" s="42"/>
      <c r="P13" s="42"/>
    </row>
    <row r="14" spans="1:16" x14ac:dyDescent="0.2">
      <c r="A14" s="4"/>
      <c r="B14" s="5"/>
      <c r="C14" s="26"/>
      <c r="D14" s="5"/>
      <c r="E14" s="5"/>
      <c r="F14" s="5"/>
      <c r="G14" s="5"/>
      <c r="H14" s="6"/>
      <c r="I14" s="42"/>
      <c r="J14" s="42"/>
      <c r="K14" s="42"/>
      <c r="L14" s="42"/>
      <c r="M14" s="42"/>
      <c r="N14" s="42"/>
      <c r="O14" s="42"/>
      <c r="P14" s="42"/>
    </row>
    <row r="15" spans="1:16" x14ac:dyDescent="0.2">
      <c r="A15" s="7" t="s">
        <v>8</v>
      </c>
      <c r="B15" s="5"/>
      <c r="C15" s="26"/>
      <c r="D15" s="5"/>
      <c r="E15" s="5"/>
      <c r="F15" s="5"/>
      <c r="G15" s="5"/>
      <c r="H15" s="6"/>
      <c r="I15" s="42"/>
      <c r="J15" s="42"/>
      <c r="K15" s="42"/>
      <c r="L15" s="42"/>
      <c r="M15" s="42"/>
      <c r="N15" s="42"/>
      <c r="O15" s="42"/>
      <c r="P15" s="42"/>
    </row>
    <row r="16" spans="1:16" x14ac:dyDescent="0.2">
      <c r="A16" s="4" t="s">
        <v>11</v>
      </c>
      <c r="B16" s="5"/>
      <c r="C16" s="26" t="s">
        <v>18</v>
      </c>
      <c r="D16" s="13">
        <v>55</v>
      </c>
      <c r="E16" s="5"/>
      <c r="F16" s="26" t="s">
        <v>19</v>
      </c>
      <c r="G16" s="13">
        <v>0.63</v>
      </c>
      <c r="H16" s="6"/>
      <c r="I16" s="42"/>
      <c r="J16" s="42"/>
      <c r="K16" s="42"/>
      <c r="L16" s="42"/>
      <c r="M16" s="42"/>
      <c r="N16" s="42"/>
      <c r="O16" s="42"/>
      <c r="P16" s="42"/>
    </row>
    <row r="17" spans="1:16" x14ac:dyDescent="0.2">
      <c r="A17" s="4"/>
      <c r="B17" s="5"/>
      <c r="C17" s="26"/>
      <c r="D17" s="5"/>
      <c r="E17" s="5"/>
      <c r="F17" s="26"/>
      <c r="G17" s="5"/>
      <c r="H17" s="6"/>
      <c r="I17" s="42"/>
      <c r="J17" s="42"/>
      <c r="K17" s="42"/>
      <c r="L17" s="42"/>
      <c r="M17" s="42"/>
      <c r="N17" s="42"/>
      <c r="O17" s="42"/>
      <c r="P17" s="42"/>
    </row>
    <row r="18" spans="1:16" x14ac:dyDescent="0.2">
      <c r="A18" s="7" t="s">
        <v>9</v>
      </c>
      <c r="B18" s="5"/>
      <c r="C18" s="26"/>
      <c r="D18" s="5"/>
      <c r="E18" s="5"/>
      <c r="F18" s="26"/>
      <c r="G18" s="5"/>
      <c r="H18" s="6"/>
      <c r="I18" s="42"/>
      <c r="J18" s="42"/>
      <c r="K18" s="42"/>
      <c r="L18" s="42"/>
      <c r="M18" s="42"/>
      <c r="N18" s="42"/>
      <c r="O18" s="42"/>
      <c r="P18" s="42"/>
    </row>
    <row r="19" spans="1:16" x14ac:dyDescent="0.2">
      <c r="A19" s="4" t="s">
        <v>10</v>
      </c>
      <c r="B19" s="5"/>
      <c r="C19" s="26" t="s">
        <v>46</v>
      </c>
      <c r="D19" s="13">
        <v>47</v>
      </c>
      <c r="E19" s="5"/>
      <c r="F19" s="26" t="s">
        <v>20</v>
      </c>
      <c r="G19" s="13">
        <v>1500</v>
      </c>
      <c r="H19" s="6"/>
      <c r="I19" s="42"/>
      <c r="J19" s="42"/>
      <c r="K19" s="42"/>
      <c r="L19" s="42"/>
      <c r="M19" s="42"/>
      <c r="N19" s="42"/>
      <c r="O19" s="42"/>
      <c r="P19" s="42"/>
    </row>
    <row r="20" spans="1:16" x14ac:dyDescent="0.2">
      <c r="A20" s="4"/>
      <c r="B20" s="5"/>
      <c r="C20" s="26"/>
      <c r="D20" s="5"/>
      <c r="E20" s="5"/>
      <c r="F20" s="26"/>
      <c r="G20" s="5"/>
      <c r="H20" s="6"/>
      <c r="I20" s="42"/>
      <c r="J20" s="42"/>
      <c r="K20" s="42"/>
      <c r="L20" s="42"/>
      <c r="M20" s="42"/>
      <c r="N20" s="42"/>
      <c r="O20" s="42"/>
      <c r="P20" s="42"/>
    </row>
    <row r="21" spans="1:16" x14ac:dyDescent="0.2">
      <c r="A21" s="7" t="s">
        <v>12</v>
      </c>
      <c r="B21" s="5"/>
      <c r="C21" s="26"/>
      <c r="D21" s="5"/>
      <c r="E21" s="5"/>
      <c r="F21" s="26"/>
      <c r="G21" s="5"/>
      <c r="H21" s="6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" t="s">
        <v>13</v>
      </c>
      <c r="B22" s="5"/>
      <c r="C22" s="26" t="s">
        <v>21</v>
      </c>
      <c r="D22" s="13">
        <v>0.6</v>
      </c>
      <c r="E22" s="5"/>
      <c r="F22" s="26" t="s">
        <v>22</v>
      </c>
      <c r="G22" s="13">
        <v>2700</v>
      </c>
      <c r="H22" s="6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"/>
      <c r="B23" s="5"/>
      <c r="C23" s="26"/>
      <c r="D23" s="5"/>
      <c r="E23" s="5"/>
      <c r="F23" s="5"/>
      <c r="G23" s="5"/>
      <c r="H23" s="6"/>
      <c r="I23" s="42"/>
      <c r="J23" s="42"/>
      <c r="K23" s="42"/>
      <c r="L23" s="42"/>
      <c r="M23" s="42"/>
      <c r="N23" s="42"/>
      <c r="O23" s="42"/>
      <c r="P23" s="42"/>
    </row>
    <row r="24" spans="1:16" x14ac:dyDescent="0.2">
      <c r="A24" s="7" t="s">
        <v>39</v>
      </c>
      <c r="B24" s="5"/>
      <c r="C24" s="26" t="s">
        <v>38</v>
      </c>
      <c r="D24" s="23">
        <f>f/(f+d*e/(1-b))</f>
        <v>0.52606635071090047</v>
      </c>
      <c r="E24" s="5"/>
      <c r="F24" s="5"/>
      <c r="G24" s="5"/>
      <c r="H24" s="6"/>
      <c r="I24" s="42"/>
      <c r="J24" s="42"/>
      <c r="K24" s="42"/>
      <c r="L24" s="42"/>
      <c r="M24" s="42"/>
      <c r="N24" s="42"/>
      <c r="O24" s="42"/>
      <c r="P24" s="42"/>
    </row>
    <row r="25" spans="1:16" x14ac:dyDescent="0.2">
      <c r="A25" s="8"/>
      <c r="B25" s="9"/>
      <c r="C25" s="9"/>
      <c r="D25" s="9"/>
      <c r="E25" s="9"/>
      <c r="F25" s="9"/>
      <c r="G25" s="9"/>
      <c r="H25" s="10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4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">
      <c r="A27" s="1"/>
      <c r="B27" s="2"/>
      <c r="C27" s="2"/>
      <c r="D27" s="2"/>
      <c r="E27" s="2"/>
      <c r="F27" s="2"/>
      <c r="G27" s="2"/>
      <c r="H27" s="3"/>
      <c r="I27" s="42"/>
      <c r="J27" s="42"/>
      <c r="K27" s="42"/>
      <c r="L27" s="42"/>
      <c r="M27" s="42"/>
      <c r="N27" s="42"/>
      <c r="O27" s="42"/>
      <c r="P27" s="42"/>
    </row>
    <row r="28" spans="1:16" x14ac:dyDescent="0.2">
      <c r="A28" s="7"/>
      <c r="B28" s="5"/>
      <c r="C28" s="5"/>
      <c r="D28" s="5"/>
      <c r="E28" s="5"/>
      <c r="F28" s="5"/>
      <c r="G28" s="5"/>
      <c r="H28" s="6"/>
      <c r="I28" s="42"/>
      <c r="J28" s="42"/>
      <c r="K28" s="42"/>
      <c r="L28" s="42"/>
      <c r="M28" s="42"/>
      <c r="N28" s="42"/>
      <c r="O28" s="42"/>
      <c r="P28" s="42"/>
    </row>
    <row r="29" spans="1:16" x14ac:dyDescent="0.2">
      <c r="A29" s="7" t="s">
        <v>23</v>
      </c>
      <c r="B29" s="5"/>
      <c r="C29" s="42"/>
      <c r="D29" s="42"/>
      <c r="E29" s="5"/>
      <c r="F29" s="5"/>
      <c r="G29" s="5"/>
      <c r="H29" s="6"/>
      <c r="I29" s="42"/>
      <c r="J29" s="42"/>
      <c r="K29" s="42"/>
      <c r="L29" s="42"/>
      <c r="M29" s="42"/>
      <c r="N29" s="42"/>
      <c r="O29" s="42"/>
      <c r="P29" s="42"/>
    </row>
    <row r="30" spans="1:16" x14ac:dyDescent="0.2">
      <c r="A30" s="4"/>
      <c r="B30" s="5"/>
      <c r="C30" s="28"/>
      <c r="D30" s="42"/>
      <c r="E30" s="5"/>
      <c r="F30" s="5"/>
      <c r="G30" s="5"/>
      <c r="H30" s="6"/>
      <c r="I30" s="42"/>
      <c r="J30" s="42"/>
      <c r="K30" s="42"/>
      <c r="L30" s="42"/>
      <c r="M30" s="42"/>
      <c r="N30" s="42"/>
      <c r="O30" s="42"/>
      <c r="P30" s="42"/>
    </row>
    <row r="31" spans="1:16" x14ac:dyDescent="0.2">
      <c r="A31" s="49"/>
      <c r="B31" s="5"/>
      <c r="C31" s="29"/>
      <c r="D31" s="42"/>
      <c r="E31" s="5"/>
      <c r="F31" s="5"/>
      <c r="G31" s="5"/>
      <c r="H31" s="6"/>
      <c r="I31" s="42"/>
      <c r="J31" s="42"/>
      <c r="K31" s="42"/>
      <c r="L31" s="42"/>
      <c r="M31" s="42"/>
      <c r="N31" s="42"/>
      <c r="O31" s="42"/>
      <c r="P31" s="42"/>
    </row>
    <row r="32" spans="1:16" x14ac:dyDescent="0.2">
      <c r="A32" s="7" t="s">
        <v>24</v>
      </c>
      <c r="B32" s="27" t="s">
        <v>55</v>
      </c>
      <c r="C32" s="31">
        <f>x*(a+cinv)/(1-b)+(x/(1-b))*G+((-x*b)/(1-b))*T+(d/((1-b)*(f+d*e/(1-b))))*(M/P)</f>
        <v>383.43055049216184</v>
      </c>
      <c r="D32" s="30"/>
      <c r="E32" s="5"/>
      <c r="F32" s="5"/>
      <c r="G32" s="5"/>
      <c r="H32" s="6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4" t="s">
        <v>25</v>
      </c>
      <c r="B33" s="27" t="s">
        <v>56</v>
      </c>
      <c r="C33" s="31">
        <f>a+b*(Y-T)</f>
        <v>202.06124681006196</v>
      </c>
      <c r="D33" s="30"/>
      <c r="E33" s="5"/>
      <c r="F33" s="5"/>
      <c r="G33" s="5"/>
      <c r="H33" s="6"/>
      <c r="I33" s="42"/>
      <c r="J33" s="42"/>
      <c r="K33" s="42"/>
      <c r="L33" s="42"/>
      <c r="M33" s="42"/>
      <c r="N33" s="42"/>
      <c r="O33" s="42"/>
      <c r="P33" s="42"/>
    </row>
    <row r="34" spans="1:16" x14ac:dyDescent="0.2">
      <c r="A34" s="4" t="s">
        <v>26</v>
      </c>
      <c r="B34" s="27" t="s">
        <v>57</v>
      </c>
      <c r="C34" s="31">
        <f>cinv-d*IR</f>
        <v>31.36930368209989</v>
      </c>
      <c r="D34" s="30"/>
      <c r="E34" s="5"/>
      <c r="F34" s="5"/>
      <c r="G34" s="5"/>
      <c r="H34" s="6"/>
      <c r="I34" s="42"/>
      <c r="J34" s="42"/>
      <c r="K34" s="42"/>
      <c r="L34" s="42"/>
      <c r="M34" s="42"/>
      <c r="N34" s="42"/>
      <c r="O34" s="42"/>
      <c r="P34" s="42"/>
    </row>
    <row r="35" spans="1:16" x14ac:dyDescent="0.2">
      <c r="A35" s="4" t="s">
        <v>27</v>
      </c>
      <c r="B35" s="27" t="s">
        <v>58</v>
      </c>
      <c r="C35" s="32">
        <f>(e/f)*Y-(1/f)*(M/P)</f>
        <v>1.0420464211933406E-2</v>
      </c>
      <c r="D35" s="30"/>
      <c r="E35" s="5"/>
      <c r="F35" s="5"/>
      <c r="G35" s="5"/>
      <c r="H35" s="6"/>
      <c r="I35" s="42"/>
      <c r="J35" s="42"/>
      <c r="K35" s="42"/>
      <c r="L35" s="42"/>
      <c r="M35" s="42"/>
      <c r="N35" s="42"/>
      <c r="O35" s="42"/>
      <c r="P35" s="42"/>
    </row>
    <row r="36" spans="1:16" x14ac:dyDescent="0.2">
      <c r="A36" s="4"/>
      <c r="B36" s="5"/>
      <c r="C36" s="42"/>
      <c r="D36" s="5"/>
      <c r="E36" s="5"/>
      <c r="F36" s="5"/>
      <c r="G36" s="5"/>
      <c r="H36" s="6"/>
      <c r="I36" s="42"/>
      <c r="J36" s="42"/>
      <c r="K36" s="42"/>
      <c r="L36" s="42"/>
      <c r="M36" s="42"/>
      <c r="N36" s="42"/>
      <c r="O36" s="42"/>
      <c r="P36" s="42"/>
    </row>
    <row r="37" spans="1:16" x14ac:dyDescent="0.2">
      <c r="A37" s="4"/>
      <c r="B37" s="5"/>
      <c r="C37" s="42"/>
      <c r="D37" s="5"/>
      <c r="E37" s="5"/>
      <c r="F37" s="5"/>
      <c r="G37" s="5"/>
      <c r="H37" s="6"/>
      <c r="I37" s="42"/>
      <c r="J37" s="42"/>
      <c r="K37" s="42"/>
      <c r="L37" s="42"/>
      <c r="M37" s="42"/>
      <c r="N37" s="42"/>
      <c r="O37" s="42"/>
      <c r="P37" s="42"/>
    </row>
    <row r="38" spans="1:16" x14ac:dyDescent="0.2">
      <c r="A38" s="4"/>
      <c r="B38" s="5"/>
      <c r="C38" s="42"/>
      <c r="D38" s="5"/>
      <c r="E38" s="5"/>
      <c r="F38" s="5"/>
      <c r="G38" s="5"/>
      <c r="H38" s="6"/>
      <c r="I38" s="42"/>
      <c r="J38" s="42"/>
      <c r="K38" s="42"/>
      <c r="L38" s="42"/>
      <c r="M38" s="42"/>
      <c r="N38" s="42"/>
      <c r="O38" s="42"/>
      <c r="P38" s="42"/>
    </row>
    <row r="39" spans="1:16" x14ac:dyDescent="0.2">
      <c r="A39" s="4"/>
      <c r="B39" s="5"/>
      <c r="C39" s="42"/>
      <c r="D39" s="5"/>
      <c r="E39" s="5"/>
      <c r="F39" s="5"/>
      <c r="G39" s="5"/>
      <c r="H39" s="6"/>
      <c r="I39" s="42"/>
      <c r="J39" s="42"/>
      <c r="K39" s="42"/>
      <c r="L39" s="42"/>
      <c r="M39" s="42"/>
      <c r="N39" s="42"/>
      <c r="O39" s="42"/>
      <c r="P39" s="42"/>
    </row>
    <row r="40" spans="1:16" x14ac:dyDescent="0.2">
      <c r="A40" s="4"/>
      <c r="B40" s="5"/>
      <c r="C40" s="42"/>
      <c r="D40" s="5"/>
      <c r="E40" s="5"/>
      <c r="F40" s="5"/>
      <c r="G40" s="5"/>
      <c r="H40" s="6"/>
      <c r="I40" s="42"/>
      <c r="J40" s="42"/>
      <c r="K40" s="42"/>
      <c r="L40" s="42"/>
      <c r="M40" s="42"/>
      <c r="N40" s="42"/>
      <c r="O40" s="42"/>
      <c r="P40" s="42"/>
    </row>
    <row r="41" spans="1:16" x14ac:dyDescent="0.2">
      <c r="A41" s="8"/>
      <c r="B41" s="9"/>
      <c r="C41" s="44"/>
      <c r="D41" s="9"/>
      <c r="E41" s="9"/>
      <c r="F41" s="9"/>
      <c r="G41" s="9"/>
      <c r="H41" s="10"/>
      <c r="I41" s="42"/>
      <c r="J41" s="42"/>
      <c r="K41" s="42"/>
      <c r="L41" s="42"/>
      <c r="M41" s="42"/>
      <c r="N41" s="42"/>
      <c r="O41" s="42"/>
      <c r="P41" s="42"/>
    </row>
    <row r="42" spans="1:16" x14ac:dyDescent="0.2">
      <c r="A42" s="4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">
      <c r="A43" s="4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2">
      <c r="A44" s="4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2">
      <c r="A45" s="4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">
      <c r="A46" s="4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x14ac:dyDescent="0.2">
      <c r="A47" s="4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2">
      <c r="A48" s="4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x14ac:dyDescent="0.2">
      <c r="A49" s="45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6"/>
    </row>
  </sheetData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3" zoomScaleSheetLayoutView="85" workbookViewId="0">
      <selection activeCell="N22" sqref="N22"/>
    </sheetView>
  </sheetViews>
  <sheetFormatPr defaultColWidth="11.5703125" defaultRowHeight="12.75" x14ac:dyDescent="0.2"/>
  <cols>
    <col min="1" max="1" width="11.5703125" customWidth="1"/>
    <col min="2" max="2" width="13.140625" customWidth="1"/>
    <col min="3" max="3" width="6.42578125" customWidth="1"/>
    <col min="4" max="4" width="6.5703125" customWidth="1"/>
    <col min="5" max="5" width="5.7109375" customWidth="1"/>
    <col min="6" max="6" width="8.140625" customWidth="1"/>
    <col min="7" max="7" width="6.5703125" customWidth="1"/>
    <col min="8" max="8" width="1.7109375" customWidth="1"/>
    <col min="9" max="9" width="3.42578125" customWidth="1"/>
    <col min="10" max="10" width="12" bestFit="1" customWidth="1"/>
    <col min="11" max="14" width="9.7109375" customWidth="1"/>
    <col min="15" max="15" width="7.7109375" bestFit="1" customWidth="1"/>
    <col min="16" max="16" width="7" customWidth="1"/>
    <col min="17" max="17" width="9.7109375" customWidth="1"/>
  </cols>
  <sheetData>
    <row r="1" spans="1:16" ht="18" x14ac:dyDescent="0.25">
      <c r="A1" s="6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">
      <c r="A2" s="4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0"/>
    </row>
    <row r="3" spans="1:16" x14ac:dyDescent="0.2">
      <c r="A3" s="57" t="s">
        <v>40</v>
      </c>
      <c r="B3" s="47"/>
      <c r="C3" s="47"/>
      <c r="D3" s="47"/>
      <c r="E3" s="47"/>
      <c r="F3" s="47"/>
      <c r="G3" s="47"/>
      <c r="H3" s="48"/>
      <c r="I3" s="42"/>
      <c r="J3" s="42"/>
      <c r="K3" s="56" t="s">
        <v>41</v>
      </c>
      <c r="L3" s="42"/>
      <c r="M3" s="42"/>
      <c r="N3" s="42"/>
      <c r="O3" s="42"/>
      <c r="P3" s="50"/>
    </row>
    <row r="4" spans="1:16" x14ac:dyDescent="0.2">
      <c r="A4" s="7"/>
      <c r="B4" s="5"/>
      <c r="C4" s="5"/>
      <c r="D4" s="5"/>
      <c r="E4" s="5"/>
      <c r="F4" s="5"/>
      <c r="G4" s="5"/>
      <c r="H4" s="6"/>
      <c r="I4" s="42"/>
      <c r="J4" s="42"/>
      <c r="K4" s="14" t="s">
        <v>29</v>
      </c>
      <c r="L4" s="5"/>
      <c r="M4" s="5"/>
      <c r="N4" s="5"/>
      <c r="O4" s="5"/>
      <c r="P4" s="50"/>
    </row>
    <row r="5" spans="1:16" x14ac:dyDescent="0.2">
      <c r="A5" s="61" t="s">
        <v>1</v>
      </c>
      <c r="B5" s="5"/>
      <c r="C5" s="5"/>
      <c r="D5" s="5" t="s">
        <v>28</v>
      </c>
      <c r="E5" s="5"/>
      <c r="F5" s="5"/>
      <c r="G5" s="5"/>
      <c r="H5" s="6"/>
      <c r="I5" s="42"/>
      <c r="J5" s="42"/>
      <c r="K5" s="14"/>
      <c r="L5" s="5"/>
      <c r="M5" s="5"/>
      <c r="N5" s="5"/>
      <c r="O5" s="5"/>
      <c r="P5" s="50"/>
    </row>
    <row r="6" spans="1:16" x14ac:dyDescent="0.2">
      <c r="A6" s="61"/>
      <c r="B6" s="5"/>
      <c r="C6" s="5"/>
      <c r="D6" s="5"/>
      <c r="E6" s="5"/>
      <c r="F6" s="5"/>
      <c r="G6" s="5"/>
      <c r="H6" s="6"/>
      <c r="I6" s="42"/>
      <c r="J6" s="42"/>
      <c r="K6" s="13" t="s">
        <v>30</v>
      </c>
      <c r="L6" s="13" t="s">
        <v>31</v>
      </c>
      <c r="M6" s="13" t="s">
        <v>32</v>
      </c>
      <c r="N6" s="13" t="s">
        <v>34</v>
      </c>
      <c r="O6" s="15" t="s">
        <v>33</v>
      </c>
      <c r="P6" s="50"/>
    </row>
    <row r="7" spans="1:16" x14ac:dyDescent="0.2">
      <c r="A7" s="7" t="s">
        <v>2</v>
      </c>
      <c r="B7" s="5"/>
      <c r="C7" s="5"/>
      <c r="D7" s="5"/>
      <c r="E7" s="42"/>
      <c r="F7" s="5"/>
      <c r="G7" s="5"/>
      <c r="H7" s="6"/>
      <c r="I7" s="42"/>
      <c r="J7" s="42"/>
      <c r="K7" s="11">
        <v>0</v>
      </c>
      <c r="L7" s="11">
        <f>a+b*(K7-T)</f>
        <v>-39.5</v>
      </c>
      <c r="M7" s="55">
        <f t="shared" ref="M7:M17" si="0">cinv-d*((e/f)*K7-(1/f)*(M/P))</f>
        <v>159.17948717948715</v>
      </c>
      <c r="N7" s="18">
        <f>L7+M7+G</f>
        <v>269.67948717948718</v>
      </c>
      <c r="O7" s="16">
        <f>K7</f>
        <v>0</v>
      </c>
      <c r="P7" s="50"/>
    </row>
    <row r="8" spans="1:16" x14ac:dyDescent="0.2">
      <c r="A8" s="4" t="s">
        <v>3</v>
      </c>
      <c r="B8" s="5"/>
      <c r="C8" s="26" t="s">
        <v>14</v>
      </c>
      <c r="D8" s="13">
        <v>150</v>
      </c>
      <c r="E8" s="42"/>
      <c r="F8" s="5"/>
      <c r="G8" s="5"/>
      <c r="H8" s="6"/>
      <c r="I8" s="42"/>
      <c r="J8" s="42"/>
      <c r="K8" s="11">
        <v>50</v>
      </c>
      <c r="L8" s="11">
        <f t="shared" ref="L8:L17" si="1">a+b*(K8-T)</f>
        <v>-8</v>
      </c>
      <c r="M8" s="55">
        <f t="shared" si="0"/>
        <v>142.5128205128205</v>
      </c>
      <c r="N8" s="18">
        <f t="shared" ref="N8:N17" si="2">L8+M8+G</f>
        <v>284.5128205128205</v>
      </c>
      <c r="O8" s="16">
        <f t="shared" ref="O8:O17" si="3">K8</f>
        <v>50</v>
      </c>
      <c r="P8" s="50"/>
    </row>
    <row r="9" spans="1:16" x14ac:dyDescent="0.2">
      <c r="A9" s="4" t="s">
        <v>4</v>
      </c>
      <c r="B9" s="5"/>
      <c r="C9" s="26" t="s">
        <v>15</v>
      </c>
      <c r="D9" s="13">
        <v>150</v>
      </c>
      <c r="E9" s="42"/>
      <c r="F9" s="5"/>
      <c r="G9" s="5"/>
      <c r="H9" s="6"/>
      <c r="I9" s="42"/>
      <c r="J9" s="42"/>
      <c r="K9" s="11">
        <v>100</v>
      </c>
      <c r="L9" s="11">
        <f t="shared" si="1"/>
        <v>23.5</v>
      </c>
      <c r="M9" s="55">
        <f t="shared" si="0"/>
        <v>125.84615384615383</v>
      </c>
      <c r="N9" s="18">
        <f t="shared" si="2"/>
        <v>299.34615384615381</v>
      </c>
      <c r="O9" s="16">
        <f t="shared" si="3"/>
        <v>100</v>
      </c>
      <c r="P9" s="50"/>
    </row>
    <row r="10" spans="1:16" x14ac:dyDescent="0.2">
      <c r="A10" s="4" t="s">
        <v>5</v>
      </c>
      <c r="B10" s="5"/>
      <c r="C10" s="26" t="s">
        <v>16</v>
      </c>
      <c r="D10" s="13">
        <v>210</v>
      </c>
      <c r="E10" s="42"/>
      <c r="F10" s="5"/>
      <c r="G10" s="5"/>
      <c r="H10" s="6"/>
      <c r="I10" s="42"/>
      <c r="J10" s="42"/>
      <c r="K10" s="11">
        <v>150</v>
      </c>
      <c r="L10" s="11">
        <f t="shared" si="1"/>
        <v>55</v>
      </c>
      <c r="M10" s="55">
        <f t="shared" si="0"/>
        <v>109.17948717948715</v>
      </c>
      <c r="N10" s="18">
        <f t="shared" si="2"/>
        <v>314.17948717948718</v>
      </c>
      <c r="O10" s="16">
        <f t="shared" si="3"/>
        <v>150</v>
      </c>
      <c r="P10" s="50"/>
    </row>
    <row r="11" spans="1:16" x14ac:dyDescent="0.2">
      <c r="A11" s="4"/>
      <c r="B11" s="5"/>
      <c r="C11" s="5"/>
      <c r="D11" s="5"/>
      <c r="E11" s="42"/>
      <c r="F11" s="5"/>
      <c r="G11" s="5"/>
      <c r="H11" s="6"/>
      <c r="I11" s="42"/>
      <c r="J11" s="42"/>
      <c r="K11" s="11">
        <v>200</v>
      </c>
      <c r="L11" s="11">
        <f t="shared" si="1"/>
        <v>86.5</v>
      </c>
      <c r="M11" s="55">
        <f t="shared" si="0"/>
        <v>92.512820512820497</v>
      </c>
      <c r="N11" s="18">
        <f t="shared" si="2"/>
        <v>329.0128205128205</v>
      </c>
      <c r="O11" s="16">
        <f t="shared" si="3"/>
        <v>200</v>
      </c>
      <c r="P11" s="50"/>
    </row>
    <row r="12" spans="1:16" x14ac:dyDescent="0.2">
      <c r="A12" s="7" t="s">
        <v>6</v>
      </c>
      <c r="B12" s="5"/>
      <c r="C12" s="5"/>
      <c r="D12" s="5"/>
      <c r="E12" s="5"/>
      <c r="F12" s="5"/>
      <c r="G12" s="5"/>
      <c r="H12" s="6"/>
      <c r="I12" s="42"/>
      <c r="J12" s="42"/>
      <c r="K12" s="11">
        <v>250</v>
      </c>
      <c r="L12" s="11">
        <f t="shared" si="1"/>
        <v>118</v>
      </c>
      <c r="M12" s="55">
        <f t="shared" si="0"/>
        <v>75.846153846153825</v>
      </c>
      <c r="N12" s="18">
        <f t="shared" si="2"/>
        <v>343.84615384615381</v>
      </c>
      <c r="O12" s="16">
        <f t="shared" si="3"/>
        <v>250</v>
      </c>
      <c r="P12" s="50"/>
    </row>
    <row r="13" spans="1:16" x14ac:dyDescent="0.2">
      <c r="A13" s="4" t="s">
        <v>7</v>
      </c>
      <c r="B13" s="5"/>
      <c r="C13" s="26" t="s">
        <v>17</v>
      </c>
      <c r="D13" s="13">
        <v>1.04</v>
      </c>
      <c r="E13" s="5"/>
      <c r="F13" s="5"/>
      <c r="G13" s="5"/>
      <c r="H13" s="6"/>
      <c r="I13" s="42"/>
      <c r="J13" s="42"/>
      <c r="K13" s="11">
        <v>300</v>
      </c>
      <c r="L13" s="11">
        <f t="shared" si="1"/>
        <v>149.5</v>
      </c>
      <c r="M13" s="55">
        <f t="shared" si="0"/>
        <v>59.179487179487154</v>
      </c>
      <c r="N13" s="18">
        <f t="shared" si="2"/>
        <v>358.67948717948718</v>
      </c>
      <c r="O13" s="16">
        <f t="shared" si="3"/>
        <v>300</v>
      </c>
      <c r="P13" s="50"/>
    </row>
    <row r="14" spans="1:16" x14ac:dyDescent="0.2">
      <c r="A14" s="4"/>
      <c r="B14" s="5"/>
      <c r="C14" s="26"/>
      <c r="D14" s="5"/>
      <c r="E14" s="5"/>
      <c r="F14" s="5"/>
      <c r="G14" s="5"/>
      <c r="H14" s="6"/>
      <c r="I14" s="42"/>
      <c r="J14" s="42"/>
      <c r="K14" s="11">
        <v>350</v>
      </c>
      <c r="L14" s="11">
        <f t="shared" si="1"/>
        <v>181</v>
      </c>
      <c r="M14" s="55">
        <f t="shared" si="0"/>
        <v>42.512820512820511</v>
      </c>
      <c r="N14" s="18">
        <f t="shared" si="2"/>
        <v>373.5128205128205</v>
      </c>
      <c r="O14" s="16">
        <f t="shared" si="3"/>
        <v>350</v>
      </c>
      <c r="P14" s="50"/>
    </row>
    <row r="15" spans="1:16" x14ac:dyDescent="0.2">
      <c r="A15" s="7" t="s">
        <v>8</v>
      </c>
      <c r="B15" s="5"/>
      <c r="C15" s="26"/>
      <c r="D15" s="5"/>
      <c r="E15" s="5"/>
      <c r="F15" s="5"/>
      <c r="G15" s="5"/>
      <c r="H15" s="6"/>
      <c r="I15" s="42"/>
      <c r="J15" s="42"/>
      <c r="K15" s="11">
        <v>400</v>
      </c>
      <c r="L15" s="11">
        <f t="shared" si="1"/>
        <v>212.5</v>
      </c>
      <c r="M15" s="55">
        <f t="shared" si="0"/>
        <v>25.84615384615384</v>
      </c>
      <c r="N15" s="18">
        <f t="shared" si="2"/>
        <v>388.34615384615381</v>
      </c>
      <c r="O15" s="16">
        <f t="shared" si="3"/>
        <v>400</v>
      </c>
      <c r="P15" s="50"/>
    </row>
    <row r="16" spans="1:16" x14ac:dyDescent="0.2">
      <c r="A16" s="4" t="s">
        <v>11</v>
      </c>
      <c r="B16" s="5"/>
      <c r="C16" s="26" t="s">
        <v>18</v>
      </c>
      <c r="D16" s="13">
        <v>55</v>
      </c>
      <c r="E16" s="5"/>
      <c r="F16" s="26" t="s">
        <v>19</v>
      </c>
      <c r="G16" s="13">
        <v>0.63</v>
      </c>
      <c r="H16" s="6"/>
      <c r="I16" s="42"/>
      <c r="J16" s="42"/>
      <c r="K16" s="11">
        <v>450</v>
      </c>
      <c r="L16" s="11">
        <f t="shared" si="1"/>
        <v>244</v>
      </c>
      <c r="M16" s="55">
        <f t="shared" si="0"/>
        <v>9.1794871794871682</v>
      </c>
      <c r="N16" s="18">
        <f t="shared" si="2"/>
        <v>403.17948717948718</v>
      </c>
      <c r="O16" s="16">
        <f t="shared" si="3"/>
        <v>450</v>
      </c>
      <c r="P16" s="50"/>
    </row>
    <row r="17" spans="1:16" x14ac:dyDescent="0.2">
      <c r="A17" s="4"/>
      <c r="B17" s="5"/>
      <c r="C17" s="26"/>
      <c r="D17" s="5"/>
      <c r="E17" s="5"/>
      <c r="F17" s="26"/>
      <c r="G17" s="5"/>
      <c r="H17" s="6"/>
      <c r="I17" s="42"/>
      <c r="J17" s="42"/>
      <c r="K17" s="12">
        <v>500</v>
      </c>
      <c r="L17" s="12">
        <f t="shared" si="1"/>
        <v>275.5</v>
      </c>
      <c r="M17" s="55">
        <f t="shared" si="0"/>
        <v>-7.4871794871795032</v>
      </c>
      <c r="N17" s="19">
        <f t="shared" si="2"/>
        <v>418.0128205128205</v>
      </c>
      <c r="O17" s="17">
        <f t="shared" si="3"/>
        <v>500</v>
      </c>
      <c r="P17" s="50"/>
    </row>
    <row r="18" spans="1:16" x14ac:dyDescent="0.2">
      <c r="A18" s="7" t="s">
        <v>9</v>
      </c>
      <c r="B18" s="5"/>
      <c r="C18" s="26"/>
      <c r="D18" s="5"/>
      <c r="E18" s="5"/>
      <c r="F18" s="26"/>
      <c r="G18" s="5"/>
      <c r="H18" s="6"/>
      <c r="I18" s="42"/>
      <c r="J18" s="42"/>
      <c r="K18" s="5"/>
      <c r="L18" s="5"/>
      <c r="M18" s="5"/>
      <c r="N18" s="5"/>
      <c r="O18" s="5"/>
      <c r="P18" s="50"/>
    </row>
    <row r="19" spans="1:16" x14ac:dyDescent="0.2">
      <c r="A19" s="4" t="s">
        <v>10</v>
      </c>
      <c r="B19" s="5"/>
      <c r="C19" s="26" t="s">
        <v>46</v>
      </c>
      <c r="D19" s="13">
        <v>47</v>
      </c>
      <c r="E19" s="5"/>
      <c r="F19" s="26" t="s">
        <v>20</v>
      </c>
      <c r="G19" s="13">
        <v>1500</v>
      </c>
      <c r="H19" s="6"/>
      <c r="I19" s="42"/>
      <c r="J19" s="42"/>
      <c r="K19" s="14" t="s">
        <v>37</v>
      </c>
      <c r="L19" s="5"/>
      <c r="M19" s="5"/>
      <c r="N19" s="5"/>
      <c r="O19" s="5"/>
      <c r="P19" s="50"/>
    </row>
    <row r="20" spans="1:16" x14ac:dyDescent="0.2">
      <c r="A20" s="4"/>
      <c r="B20" s="5"/>
      <c r="C20" s="26"/>
      <c r="D20" s="5"/>
      <c r="E20" s="5"/>
      <c r="F20" s="26"/>
      <c r="G20" s="5"/>
      <c r="H20" s="6"/>
      <c r="I20" s="42"/>
      <c r="J20" s="42"/>
      <c r="K20" s="5"/>
      <c r="L20" s="5"/>
      <c r="M20" s="5"/>
      <c r="N20" s="5"/>
      <c r="O20" s="5"/>
      <c r="P20" s="50"/>
    </row>
    <row r="21" spans="1:16" x14ac:dyDescent="0.2">
      <c r="A21" s="7" t="s">
        <v>12</v>
      </c>
      <c r="B21" s="5"/>
      <c r="C21" s="26"/>
      <c r="D21" s="5"/>
      <c r="E21" s="5"/>
      <c r="F21" s="26"/>
      <c r="G21" s="5"/>
      <c r="H21" s="6"/>
      <c r="I21" s="42"/>
      <c r="J21" s="42"/>
      <c r="K21" s="13" t="s">
        <v>30</v>
      </c>
      <c r="L21" s="13" t="s">
        <v>31</v>
      </c>
      <c r="M21" s="13" t="s">
        <v>32</v>
      </c>
      <c r="N21" s="13" t="s">
        <v>35</v>
      </c>
      <c r="O21" s="15" t="s">
        <v>36</v>
      </c>
      <c r="P21" s="50"/>
    </row>
    <row r="22" spans="1:16" x14ac:dyDescent="0.2">
      <c r="A22" s="4" t="s">
        <v>13</v>
      </c>
      <c r="B22" s="5"/>
      <c r="C22" s="26" t="s">
        <v>21</v>
      </c>
      <c r="D22" s="13">
        <v>0.6</v>
      </c>
      <c r="E22" s="5"/>
      <c r="F22" s="26" t="s">
        <v>22</v>
      </c>
      <c r="G22" s="13">
        <v>2700</v>
      </c>
      <c r="H22" s="6"/>
      <c r="I22" s="42"/>
      <c r="J22" s="42"/>
      <c r="K22" s="11">
        <v>0</v>
      </c>
      <c r="L22" s="11">
        <f>a+b*(K22-T)</f>
        <v>-39.5</v>
      </c>
      <c r="M22" s="11">
        <f>K22-L22-G</f>
        <v>-110.5</v>
      </c>
      <c r="N22" s="22">
        <f>(cinv-M22)/d</f>
        <v>0.105</v>
      </c>
      <c r="O22" s="22">
        <f>(e/f)*K22-(1/f)*(M/P)</f>
        <v>-7.478632478632477E-2</v>
      </c>
      <c r="P22" s="62"/>
    </row>
    <row r="23" spans="1:16" x14ac:dyDescent="0.2">
      <c r="A23" s="4"/>
      <c r="B23" s="5"/>
      <c r="C23" s="26"/>
      <c r="D23" s="5"/>
      <c r="E23" s="5"/>
      <c r="F23" s="5"/>
      <c r="G23" s="5"/>
      <c r="H23" s="6"/>
      <c r="I23" s="42"/>
      <c r="J23" s="42"/>
      <c r="K23" s="11">
        <v>50</v>
      </c>
      <c r="L23" s="11">
        <f t="shared" ref="L23:L32" si="4">a+b*(K23-T)</f>
        <v>-8</v>
      </c>
      <c r="M23" s="11">
        <f t="shared" ref="M23:M32" si="5">K23-L23-G</f>
        <v>-92</v>
      </c>
      <c r="N23" s="20">
        <f t="shared" ref="N23:N32" si="6">(cinv-M23)/d</f>
        <v>9.2666666666666661E-2</v>
      </c>
      <c r="O23" s="20">
        <f t="shared" ref="O23:O32" si="7">(e/f)*K23-(1/f)*(M/P)</f>
        <v>-6.3675213675213657E-2</v>
      </c>
      <c r="P23" s="62"/>
    </row>
    <row r="24" spans="1:16" x14ac:dyDescent="0.2">
      <c r="A24" s="7" t="s">
        <v>39</v>
      </c>
      <c r="B24" s="5"/>
      <c r="C24" s="26" t="s">
        <v>38</v>
      </c>
      <c r="D24" s="23">
        <f>f/(f+d*e/(1-b))</f>
        <v>0.52606635071090047</v>
      </c>
      <c r="E24" s="5"/>
      <c r="F24" s="5"/>
      <c r="G24" s="5"/>
      <c r="H24" s="6"/>
      <c r="I24" s="42"/>
      <c r="J24" s="42"/>
      <c r="K24" s="11">
        <v>100</v>
      </c>
      <c r="L24" s="11">
        <f t="shared" si="4"/>
        <v>23.5</v>
      </c>
      <c r="M24" s="11">
        <f t="shared" si="5"/>
        <v>-73.5</v>
      </c>
      <c r="N24" s="20">
        <f t="shared" si="6"/>
        <v>8.033333333333334E-2</v>
      </c>
      <c r="O24" s="20">
        <f t="shared" si="7"/>
        <v>-5.2564102564102551E-2</v>
      </c>
      <c r="P24" s="50"/>
    </row>
    <row r="25" spans="1:16" x14ac:dyDescent="0.2">
      <c r="A25" s="8"/>
      <c r="B25" s="9"/>
      <c r="C25" s="9"/>
      <c r="D25" s="9"/>
      <c r="E25" s="9"/>
      <c r="F25" s="9"/>
      <c r="G25" s="9"/>
      <c r="H25" s="10"/>
      <c r="I25" s="42"/>
      <c r="J25" s="42"/>
      <c r="K25" s="11">
        <v>150</v>
      </c>
      <c r="L25" s="11">
        <f t="shared" si="4"/>
        <v>55</v>
      </c>
      <c r="M25" s="11">
        <f t="shared" si="5"/>
        <v>-55</v>
      </c>
      <c r="N25" s="20">
        <f t="shared" si="6"/>
        <v>6.8000000000000005E-2</v>
      </c>
      <c r="O25" s="20">
        <f t="shared" si="7"/>
        <v>-4.1452991452991438E-2</v>
      </c>
      <c r="P25" s="50"/>
    </row>
    <row r="26" spans="1:16" x14ac:dyDescent="0.2">
      <c r="A26" s="49"/>
      <c r="B26" s="42"/>
      <c r="C26" s="42"/>
      <c r="D26" s="42"/>
      <c r="E26" s="42"/>
      <c r="F26" s="42"/>
      <c r="G26" s="42"/>
      <c r="H26" s="42"/>
      <c r="I26" s="42"/>
      <c r="J26" s="42"/>
      <c r="K26" s="11">
        <v>200</v>
      </c>
      <c r="L26" s="11">
        <f t="shared" si="4"/>
        <v>86.5</v>
      </c>
      <c r="M26" s="11">
        <f t="shared" si="5"/>
        <v>-36.5</v>
      </c>
      <c r="N26" s="20">
        <f t="shared" si="6"/>
        <v>5.566666666666667E-2</v>
      </c>
      <c r="O26" s="20">
        <f t="shared" si="7"/>
        <v>-3.0341880341880331E-2</v>
      </c>
      <c r="P26" s="50"/>
    </row>
    <row r="27" spans="1:16" x14ac:dyDescent="0.2">
      <c r="A27" s="1" t="s">
        <v>52</v>
      </c>
      <c r="B27" s="2"/>
      <c r="C27" s="2"/>
      <c r="D27" s="2"/>
      <c r="E27" s="2"/>
      <c r="F27" s="2"/>
      <c r="G27" s="2"/>
      <c r="H27" s="3"/>
      <c r="I27" s="42"/>
      <c r="J27" s="42"/>
      <c r="K27" s="11">
        <v>250</v>
      </c>
      <c r="L27" s="11">
        <f t="shared" si="4"/>
        <v>118</v>
      </c>
      <c r="M27" s="11">
        <f t="shared" si="5"/>
        <v>-18</v>
      </c>
      <c r="N27" s="20">
        <f t="shared" si="6"/>
        <v>4.3333333333333335E-2</v>
      </c>
      <c r="O27" s="20">
        <f t="shared" si="7"/>
        <v>-1.9230769230769218E-2</v>
      </c>
      <c r="P27" s="50"/>
    </row>
    <row r="28" spans="1:16" x14ac:dyDescent="0.2">
      <c r="A28" s="7"/>
      <c r="B28" s="5"/>
      <c r="C28" s="5"/>
      <c r="D28" s="5"/>
      <c r="E28" s="42"/>
      <c r="F28" s="42"/>
      <c r="G28" s="5"/>
      <c r="H28" s="6"/>
      <c r="I28" s="42"/>
      <c r="J28" s="42"/>
      <c r="K28" s="11">
        <v>300</v>
      </c>
      <c r="L28" s="11">
        <f t="shared" si="4"/>
        <v>149.5</v>
      </c>
      <c r="M28" s="11">
        <f t="shared" si="5"/>
        <v>0.5</v>
      </c>
      <c r="N28" s="20">
        <f t="shared" si="6"/>
        <v>3.1E-2</v>
      </c>
      <c r="O28" s="20">
        <f t="shared" si="7"/>
        <v>-8.1196581196581047E-3</v>
      </c>
      <c r="P28" s="50"/>
    </row>
    <row r="29" spans="1:16" x14ac:dyDescent="0.2">
      <c r="A29" s="7" t="s">
        <v>23</v>
      </c>
      <c r="B29" s="5"/>
      <c r="C29" s="42"/>
      <c r="D29" s="42"/>
      <c r="E29" s="5"/>
      <c r="F29" s="5"/>
      <c r="G29" s="5"/>
      <c r="H29" s="6"/>
      <c r="I29" s="42"/>
      <c r="J29" s="42"/>
      <c r="K29" s="11">
        <v>350</v>
      </c>
      <c r="L29" s="11">
        <f t="shared" si="4"/>
        <v>181</v>
      </c>
      <c r="M29" s="11">
        <f t="shared" si="5"/>
        <v>19</v>
      </c>
      <c r="N29" s="20">
        <f t="shared" si="6"/>
        <v>1.8666666666666668E-2</v>
      </c>
      <c r="O29" s="20">
        <f t="shared" si="7"/>
        <v>2.9914529914529947E-3</v>
      </c>
      <c r="P29" s="50"/>
    </row>
    <row r="30" spans="1:16" x14ac:dyDescent="0.2">
      <c r="A30" s="4"/>
      <c r="B30" s="5"/>
      <c r="C30" s="28"/>
      <c r="D30" s="42"/>
      <c r="E30" s="5"/>
      <c r="F30" s="5"/>
      <c r="G30" s="5"/>
      <c r="H30" s="6"/>
      <c r="I30" s="42"/>
      <c r="J30" s="42"/>
      <c r="K30" s="11">
        <v>400</v>
      </c>
      <c r="L30" s="11">
        <f t="shared" si="4"/>
        <v>212.5</v>
      </c>
      <c r="M30" s="11">
        <f t="shared" si="5"/>
        <v>37.5</v>
      </c>
      <c r="N30" s="20">
        <f t="shared" si="6"/>
        <v>6.3333333333333332E-3</v>
      </c>
      <c r="O30" s="20">
        <f t="shared" si="7"/>
        <v>1.4102564102564108E-2</v>
      </c>
      <c r="P30" s="50"/>
    </row>
    <row r="31" spans="1:16" x14ac:dyDescent="0.2">
      <c r="A31" s="49"/>
      <c r="B31" s="5"/>
      <c r="C31" s="29"/>
      <c r="D31" s="42"/>
      <c r="E31" s="5"/>
      <c r="F31" s="5"/>
      <c r="G31" s="5"/>
      <c r="H31" s="6"/>
      <c r="I31" s="42"/>
      <c r="J31" s="42"/>
      <c r="K31" s="11">
        <v>450</v>
      </c>
      <c r="L31" s="11">
        <f t="shared" si="4"/>
        <v>244</v>
      </c>
      <c r="M31" s="11">
        <f t="shared" si="5"/>
        <v>56</v>
      </c>
      <c r="N31" s="20">
        <f t="shared" si="6"/>
        <v>-6.0000000000000001E-3</v>
      </c>
      <c r="O31" s="20">
        <f t="shared" si="7"/>
        <v>2.5213675213675221E-2</v>
      </c>
      <c r="P31" s="50"/>
    </row>
    <row r="32" spans="1:16" x14ac:dyDescent="0.2">
      <c r="A32" s="7" t="s">
        <v>24</v>
      </c>
      <c r="B32" s="27" t="s">
        <v>55</v>
      </c>
      <c r="C32" s="31">
        <f>x*(a+cinv)/(1-b)+(x/(1-b))*G+((-x*b)/(1-b))*T+(d/((1-b)*(f+d*e/(1-b))))*(M/P)</f>
        <v>383.43055049216184</v>
      </c>
      <c r="D32" s="30"/>
      <c r="E32" s="5"/>
      <c r="F32" s="5"/>
      <c r="G32" s="5"/>
      <c r="H32" s="6"/>
      <c r="I32" s="42"/>
      <c r="J32" s="42"/>
      <c r="K32" s="12">
        <v>500</v>
      </c>
      <c r="L32" s="12">
        <f t="shared" si="4"/>
        <v>275.5</v>
      </c>
      <c r="M32" s="12">
        <f t="shared" si="5"/>
        <v>74.5</v>
      </c>
      <c r="N32" s="21">
        <f t="shared" si="6"/>
        <v>-1.8333333333333333E-2</v>
      </c>
      <c r="O32" s="21">
        <f t="shared" si="7"/>
        <v>3.6324786324786335E-2</v>
      </c>
      <c r="P32" s="50"/>
    </row>
    <row r="33" spans="1:16" x14ac:dyDescent="0.2">
      <c r="A33" s="4" t="s">
        <v>25</v>
      </c>
      <c r="B33" s="27" t="s">
        <v>56</v>
      </c>
      <c r="C33" s="31">
        <f>a+b*(Y-T)</f>
        <v>202.06124681006196</v>
      </c>
      <c r="D33" s="30"/>
      <c r="E33" s="5"/>
      <c r="F33" s="5"/>
      <c r="G33" s="5"/>
      <c r="H33" s="6"/>
      <c r="I33" s="42"/>
      <c r="J33" s="42"/>
      <c r="K33" s="59"/>
      <c r="L33" s="42"/>
      <c r="M33" s="42"/>
      <c r="N33" s="58"/>
      <c r="O33" s="58"/>
      <c r="P33" s="50"/>
    </row>
    <row r="34" spans="1:16" x14ac:dyDescent="0.2">
      <c r="A34" s="4" t="s">
        <v>26</v>
      </c>
      <c r="B34" s="27" t="s">
        <v>57</v>
      </c>
      <c r="C34" s="31">
        <f>cinv-d*IR</f>
        <v>31.36930368209989</v>
      </c>
      <c r="D34" s="30"/>
      <c r="E34" s="5"/>
      <c r="F34" s="5"/>
      <c r="G34" s="5"/>
      <c r="H34" s="6"/>
      <c r="I34" s="42"/>
      <c r="J34" s="42"/>
      <c r="K34" s="56"/>
      <c r="L34" s="5"/>
      <c r="M34" s="5"/>
      <c r="N34" s="5"/>
      <c r="O34" s="5"/>
      <c r="P34" s="50"/>
    </row>
    <row r="35" spans="1:16" x14ac:dyDescent="0.2">
      <c r="A35" s="4" t="s">
        <v>27</v>
      </c>
      <c r="B35" s="27" t="s">
        <v>58</v>
      </c>
      <c r="C35" s="32">
        <f>(e/f)*Y-(1/f)*(M/P)</f>
        <v>1.0420464211933406E-2</v>
      </c>
      <c r="D35" s="30"/>
      <c r="E35" s="5"/>
      <c r="F35" s="5"/>
      <c r="G35" s="5"/>
      <c r="H35" s="6"/>
      <c r="I35" s="42"/>
      <c r="J35" s="42"/>
      <c r="K35" s="14"/>
      <c r="L35" s="5"/>
      <c r="M35" s="5"/>
      <c r="N35" s="5"/>
      <c r="O35" s="5"/>
      <c r="P35" s="50"/>
    </row>
    <row r="36" spans="1:16" x14ac:dyDescent="0.2">
      <c r="A36" s="4"/>
      <c r="B36" s="5"/>
      <c r="C36" s="42"/>
      <c r="D36" s="5"/>
      <c r="E36" s="5"/>
      <c r="F36" s="5"/>
      <c r="G36" s="5"/>
      <c r="H36" s="6"/>
      <c r="I36" s="42"/>
      <c r="J36" s="42"/>
      <c r="K36" s="42"/>
      <c r="L36" s="42"/>
      <c r="M36" s="42"/>
      <c r="N36" s="42"/>
      <c r="O36" s="42"/>
      <c r="P36" s="50"/>
    </row>
    <row r="37" spans="1:16" x14ac:dyDescent="0.2">
      <c r="A37" s="4"/>
      <c r="B37" s="5"/>
      <c r="C37" s="42"/>
      <c r="D37" s="5"/>
      <c r="E37" s="5"/>
      <c r="F37" s="5"/>
      <c r="G37" s="5"/>
      <c r="H37" s="6"/>
      <c r="I37" s="42"/>
      <c r="J37" s="42"/>
      <c r="K37" s="42"/>
      <c r="L37" s="42"/>
      <c r="M37" s="42"/>
      <c r="N37" s="42"/>
      <c r="O37" s="42"/>
      <c r="P37" s="50"/>
    </row>
    <row r="38" spans="1:16" x14ac:dyDescent="0.2">
      <c r="A38" s="4"/>
      <c r="B38" s="5"/>
      <c r="C38" s="42"/>
      <c r="D38" s="5"/>
      <c r="E38" s="5"/>
      <c r="F38" s="5"/>
      <c r="G38" s="5"/>
      <c r="H38" s="6"/>
      <c r="I38" s="42"/>
      <c r="J38" s="42"/>
      <c r="K38" s="42"/>
      <c r="L38" s="42"/>
      <c r="M38" s="42"/>
      <c r="N38" s="42"/>
      <c r="O38" s="42"/>
      <c r="P38" s="50"/>
    </row>
    <row r="39" spans="1:16" x14ac:dyDescent="0.2">
      <c r="A39" s="4"/>
      <c r="B39" s="5"/>
      <c r="C39" s="42"/>
      <c r="D39" s="5"/>
      <c r="E39" s="5"/>
      <c r="F39" s="5"/>
      <c r="G39" s="5"/>
      <c r="H39" s="6"/>
      <c r="I39" s="42"/>
      <c r="J39" s="42"/>
      <c r="K39" s="42"/>
      <c r="L39" s="42"/>
      <c r="M39" s="42"/>
      <c r="N39" s="42"/>
      <c r="O39" s="42"/>
      <c r="P39" s="50"/>
    </row>
    <row r="40" spans="1:16" x14ac:dyDescent="0.2">
      <c r="A40" s="4"/>
      <c r="B40" s="5"/>
      <c r="C40" s="42"/>
      <c r="D40" s="5"/>
      <c r="E40" s="5"/>
      <c r="F40" s="5"/>
      <c r="G40" s="5"/>
      <c r="H40" s="6"/>
      <c r="I40" s="42"/>
      <c r="J40" s="42"/>
      <c r="K40" s="42"/>
      <c r="L40" s="42"/>
      <c r="M40" s="42"/>
      <c r="N40" s="42"/>
      <c r="O40" s="42"/>
      <c r="P40" s="50"/>
    </row>
    <row r="41" spans="1:16" x14ac:dyDescent="0.2">
      <c r="A41" s="8"/>
      <c r="B41" s="9"/>
      <c r="C41" s="44"/>
      <c r="D41" s="9"/>
      <c r="E41" s="9"/>
      <c r="F41" s="9"/>
      <c r="G41" s="9"/>
      <c r="H41" s="10"/>
      <c r="I41" s="42"/>
      <c r="J41" s="42"/>
      <c r="K41" s="42"/>
      <c r="L41" s="42"/>
      <c r="M41" s="42"/>
      <c r="N41" s="42"/>
      <c r="O41" s="42"/>
      <c r="P41" s="50"/>
    </row>
    <row r="42" spans="1:16" x14ac:dyDescent="0.2">
      <c r="A42" s="4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50"/>
    </row>
    <row r="43" spans="1:16" x14ac:dyDescent="0.2">
      <c r="A43" s="4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50"/>
    </row>
    <row r="44" spans="1:16" x14ac:dyDescent="0.2">
      <c r="A44" s="4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50"/>
    </row>
    <row r="45" spans="1:16" x14ac:dyDescent="0.2">
      <c r="A45" s="4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50"/>
    </row>
    <row r="46" spans="1:16" x14ac:dyDescent="0.2">
      <c r="A46" s="4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50"/>
    </row>
    <row r="47" spans="1:16" x14ac:dyDescent="0.2">
      <c r="A47" s="4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50"/>
    </row>
    <row r="48" spans="1:16" x14ac:dyDescent="0.2">
      <c r="A48" s="4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50"/>
    </row>
    <row r="49" spans="1:16" x14ac:dyDescent="0.2">
      <c r="A49" s="45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6"/>
    </row>
  </sheetData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0" zoomScale="90" zoomScaleNormal="90" zoomScaleSheetLayoutView="85" workbookViewId="0">
      <selection activeCell="G35" sqref="G35"/>
    </sheetView>
  </sheetViews>
  <sheetFormatPr defaultColWidth="11.5703125" defaultRowHeight="12.75" x14ac:dyDescent="0.2"/>
  <cols>
    <col min="1" max="1" width="11.5703125" customWidth="1"/>
    <col min="2" max="2" width="13.140625" customWidth="1"/>
    <col min="3" max="3" width="6.42578125" customWidth="1"/>
    <col min="4" max="4" width="6.5703125" customWidth="1"/>
    <col min="5" max="5" width="5.7109375" customWidth="1"/>
    <col min="6" max="6" width="8.140625" customWidth="1"/>
    <col min="7" max="7" width="14" bestFit="1" customWidth="1"/>
    <col min="8" max="8" width="1.7109375" customWidth="1"/>
    <col min="9" max="9" width="3.42578125" customWidth="1"/>
    <col min="10" max="10" width="12" bestFit="1" customWidth="1"/>
    <col min="11" max="14" width="9.7109375" customWidth="1"/>
    <col min="15" max="15" width="7.7109375" bestFit="1" customWidth="1"/>
    <col min="16" max="16" width="7" customWidth="1"/>
    <col min="17" max="17" width="9.7109375" customWidth="1"/>
  </cols>
  <sheetData>
    <row r="1" spans="1:16" ht="18" x14ac:dyDescent="0.25">
      <c r="A1" s="6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">
      <c r="A2" s="4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0"/>
    </row>
    <row r="3" spans="1:16" x14ac:dyDescent="0.2">
      <c r="A3" s="57" t="s">
        <v>40</v>
      </c>
      <c r="B3" s="47"/>
      <c r="C3" s="47"/>
      <c r="D3" s="47"/>
      <c r="E3" s="47"/>
      <c r="F3" s="47"/>
      <c r="G3" s="47"/>
      <c r="H3" s="48"/>
      <c r="I3" s="42"/>
      <c r="J3" s="42"/>
      <c r="K3" s="56" t="s">
        <v>41</v>
      </c>
      <c r="L3" s="42"/>
      <c r="M3" s="42"/>
      <c r="N3" s="42"/>
      <c r="O3" s="42"/>
      <c r="P3" s="50"/>
    </row>
    <row r="4" spans="1:16" x14ac:dyDescent="0.2">
      <c r="A4" s="7"/>
      <c r="B4" s="5"/>
      <c r="C4" s="5"/>
      <c r="D4" s="5"/>
      <c r="E4" s="5"/>
      <c r="F4" s="5"/>
      <c r="G4" s="5"/>
      <c r="H4" s="6"/>
      <c r="I4" s="42"/>
      <c r="J4" s="42"/>
      <c r="K4" s="14" t="s">
        <v>29</v>
      </c>
      <c r="L4" s="5"/>
      <c r="M4" s="5"/>
      <c r="N4" s="5"/>
      <c r="O4" s="5"/>
      <c r="P4" s="50"/>
    </row>
    <row r="5" spans="1:16" x14ac:dyDescent="0.2">
      <c r="A5" s="61" t="s">
        <v>1</v>
      </c>
      <c r="B5" s="5"/>
      <c r="C5" s="5"/>
      <c r="D5" s="5" t="s">
        <v>28</v>
      </c>
      <c r="E5" s="5"/>
      <c r="F5" s="5"/>
      <c r="G5" s="5"/>
      <c r="H5" s="6"/>
      <c r="I5" s="42"/>
      <c r="J5" s="42"/>
      <c r="K5" s="14"/>
      <c r="L5" s="5"/>
      <c r="M5" s="5"/>
      <c r="N5" s="5"/>
      <c r="O5" s="5"/>
      <c r="P5" s="50"/>
    </row>
    <row r="6" spans="1:16" x14ac:dyDescent="0.2">
      <c r="A6" s="61"/>
      <c r="B6" s="5"/>
      <c r="C6" s="5"/>
      <c r="D6" s="5"/>
      <c r="E6" s="5"/>
      <c r="F6" s="5"/>
      <c r="G6" s="5"/>
      <c r="H6" s="6"/>
      <c r="I6" s="42"/>
      <c r="J6" s="42"/>
      <c r="K6" s="13" t="s">
        <v>30</v>
      </c>
      <c r="L6" s="13" t="s">
        <v>31</v>
      </c>
      <c r="M6" s="13" t="s">
        <v>32</v>
      </c>
      <c r="N6" s="13" t="s">
        <v>34</v>
      </c>
      <c r="O6" s="15" t="s">
        <v>33</v>
      </c>
      <c r="P6" s="50"/>
    </row>
    <row r="7" spans="1:16" x14ac:dyDescent="0.2">
      <c r="A7" s="7" t="s">
        <v>2</v>
      </c>
      <c r="B7" s="5"/>
      <c r="C7" s="5"/>
      <c r="D7" s="5"/>
      <c r="E7" s="42"/>
      <c r="F7" s="67" t="s">
        <v>53</v>
      </c>
      <c r="G7" s="68"/>
      <c r="H7" s="6"/>
      <c r="I7" s="42"/>
      <c r="J7" s="42"/>
      <c r="K7" s="11">
        <v>0</v>
      </c>
      <c r="L7" s="11">
        <f>a+b*(K7-T)</f>
        <v>-39.5</v>
      </c>
      <c r="M7" s="55">
        <f t="shared" ref="M7:M17" si="0">cinv-d*((e/f)*K7-(1/f)*(M/P))</f>
        <v>159.17948717948715</v>
      </c>
      <c r="N7" s="18">
        <f>L7+M7+G</f>
        <v>269.67948717948718</v>
      </c>
      <c r="O7" s="16">
        <f>K7</f>
        <v>0</v>
      </c>
      <c r="P7" s="50"/>
    </row>
    <row r="8" spans="1:16" x14ac:dyDescent="0.2">
      <c r="A8" s="4" t="s">
        <v>3</v>
      </c>
      <c r="B8" s="5"/>
      <c r="C8" s="26" t="s">
        <v>14</v>
      </c>
      <c r="D8" s="13">
        <v>150</v>
      </c>
      <c r="E8" s="42"/>
      <c r="F8" s="43" t="s">
        <v>49</v>
      </c>
      <c r="G8" s="13">
        <v>200</v>
      </c>
      <c r="H8" s="6"/>
      <c r="I8" s="42"/>
      <c r="J8" s="42"/>
      <c r="K8" s="11">
        <v>50</v>
      </c>
      <c r="L8" s="11">
        <f t="shared" ref="L8:L17" si="1">a+b*(K8-T)</f>
        <v>-8</v>
      </c>
      <c r="M8" s="55">
        <f t="shared" si="0"/>
        <v>142.5128205128205</v>
      </c>
      <c r="N8" s="18">
        <f t="shared" ref="N8:N17" si="2">L8+M8+G</f>
        <v>284.5128205128205</v>
      </c>
      <c r="O8" s="16">
        <f t="shared" ref="O8:O17" si="3">K8</f>
        <v>50</v>
      </c>
      <c r="P8" s="50"/>
    </row>
    <row r="9" spans="1:16" x14ac:dyDescent="0.2">
      <c r="A9" s="4" t="s">
        <v>4</v>
      </c>
      <c r="B9" s="5"/>
      <c r="C9" s="26" t="s">
        <v>15</v>
      </c>
      <c r="D9" s="13">
        <v>150</v>
      </c>
      <c r="E9" s="42"/>
      <c r="F9" s="41" t="s">
        <v>48</v>
      </c>
      <c r="G9" s="13">
        <v>150</v>
      </c>
      <c r="H9" s="6"/>
      <c r="I9" s="42"/>
      <c r="J9" s="42"/>
      <c r="K9" s="11">
        <v>100</v>
      </c>
      <c r="L9" s="11">
        <f t="shared" si="1"/>
        <v>23.5</v>
      </c>
      <c r="M9" s="55">
        <f t="shared" si="0"/>
        <v>125.84615384615383</v>
      </c>
      <c r="N9" s="18">
        <f t="shared" si="2"/>
        <v>299.34615384615381</v>
      </c>
      <c r="O9" s="16">
        <f t="shared" si="3"/>
        <v>100</v>
      </c>
      <c r="P9" s="50"/>
    </row>
    <row r="10" spans="1:16" x14ac:dyDescent="0.2">
      <c r="A10" s="4" t="s">
        <v>5</v>
      </c>
      <c r="B10" s="5"/>
      <c r="C10" s="26" t="s">
        <v>16</v>
      </c>
      <c r="D10" s="13">
        <v>210</v>
      </c>
      <c r="E10" s="42"/>
      <c r="F10" s="41" t="s">
        <v>47</v>
      </c>
      <c r="G10" s="13">
        <v>210</v>
      </c>
      <c r="H10" s="6"/>
      <c r="I10" s="42"/>
      <c r="J10" s="42"/>
      <c r="K10" s="11">
        <v>150</v>
      </c>
      <c r="L10" s="11">
        <f t="shared" si="1"/>
        <v>55</v>
      </c>
      <c r="M10" s="55">
        <f t="shared" si="0"/>
        <v>109.17948717948715</v>
      </c>
      <c r="N10" s="18">
        <f t="shared" si="2"/>
        <v>314.17948717948718</v>
      </c>
      <c r="O10" s="16">
        <f t="shared" si="3"/>
        <v>150</v>
      </c>
      <c r="P10" s="50"/>
    </row>
    <row r="11" spans="1:16" x14ac:dyDescent="0.2">
      <c r="A11" s="4"/>
      <c r="B11" s="5"/>
      <c r="C11" s="5"/>
      <c r="D11" s="5"/>
      <c r="E11" s="42"/>
      <c r="F11" s="5"/>
      <c r="G11" s="5"/>
      <c r="H11" s="6"/>
      <c r="I11" s="42"/>
      <c r="J11" s="42"/>
      <c r="K11" s="11">
        <v>200</v>
      </c>
      <c r="L11" s="11">
        <f t="shared" si="1"/>
        <v>86.5</v>
      </c>
      <c r="M11" s="55">
        <f t="shared" si="0"/>
        <v>92.512820512820497</v>
      </c>
      <c r="N11" s="18">
        <f t="shared" si="2"/>
        <v>329.0128205128205</v>
      </c>
      <c r="O11" s="16">
        <f t="shared" si="3"/>
        <v>200</v>
      </c>
      <c r="P11" s="50"/>
    </row>
    <row r="12" spans="1:16" x14ac:dyDescent="0.2">
      <c r="A12" s="7" t="s">
        <v>6</v>
      </c>
      <c r="B12" s="5"/>
      <c r="C12" s="5"/>
      <c r="D12" s="5"/>
      <c r="E12" s="5"/>
      <c r="F12" s="5"/>
      <c r="G12" s="5"/>
      <c r="H12" s="6"/>
      <c r="I12" s="42"/>
      <c r="J12" s="42"/>
      <c r="K12" s="11">
        <v>250</v>
      </c>
      <c r="L12" s="11">
        <f t="shared" si="1"/>
        <v>118</v>
      </c>
      <c r="M12" s="55">
        <f t="shared" si="0"/>
        <v>75.846153846153825</v>
      </c>
      <c r="N12" s="18">
        <f t="shared" si="2"/>
        <v>343.84615384615381</v>
      </c>
      <c r="O12" s="16">
        <f t="shared" si="3"/>
        <v>250</v>
      </c>
      <c r="P12" s="50"/>
    </row>
    <row r="13" spans="1:16" x14ac:dyDescent="0.2">
      <c r="A13" s="4" t="s">
        <v>7</v>
      </c>
      <c r="B13" s="5"/>
      <c r="C13" s="26" t="s">
        <v>17</v>
      </c>
      <c r="D13" s="13">
        <v>1.04</v>
      </c>
      <c r="E13" s="5"/>
      <c r="F13" s="5"/>
      <c r="G13" s="5"/>
      <c r="H13" s="6"/>
      <c r="I13" s="42"/>
      <c r="J13" s="42"/>
      <c r="K13" s="11">
        <v>300</v>
      </c>
      <c r="L13" s="11">
        <f t="shared" si="1"/>
        <v>149.5</v>
      </c>
      <c r="M13" s="55">
        <f t="shared" si="0"/>
        <v>59.179487179487154</v>
      </c>
      <c r="N13" s="18">
        <f t="shared" si="2"/>
        <v>358.67948717948718</v>
      </c>
      <c r="O13" s="16">
        <f t="shared" si="3"/>
        <v>300</v>
      </c>
      <c r="P13" s="50"/>
    </row>
    <row r="14" spans="1:16" x14ac:dyDescent="0.2">
      <c r="A14" s="4"/>
      <c r="B14" s="5"/>
      <c r="C14" s="26"/>
      <c r="D14" s="5"/>
      <c r="E14" s="5"/>
      <c r="F14" s="5"/>
      <c r="G14" s="5"/>
      <c r="H14" s="6"/>
      <c r="I14" s="42"/>
      <c r="J14" s="42"/>
      <c r="K14" s="11">
        <v>350</v>
      </c>
      <c r="L14" s="11">
        <f t="shared" si="1"/>
        <v>181</v>
      </c>
      <c r="M14" s="55">
        <f t="shared" si="0"/>
        <v>42.512820512820511</v>
      </c>
      <c r="N14" s="18">
        <f t="shared" si="2"/>
        <v>373.5128205128205</v>
      </c>
      <c r="O14" s="16">
        <f t="shared" si="3"/>
        <v>350</v>
      </c>
      <c r="P14" s="50"/>
    </row>
    <row r="15" spans="1:16" x14ac:dyDescent="0.2">
      <c r="A15" s="7" t="s">
        <v>8</v>
      </c>
      <c r="B15" s="5"/>
      <c r="C15" s="26"/>
      <c r="D15" s="5"/>
      <c r="E15" s="5"/>
      <c r="F15" s="5"/>
      <c r="G15" s="5"/>
      <c r="H15" s="6"/>
      <c r="I15" s="42"/>
      <c r="J15" s="42"/>
      <c r="K15" s="11">
        <v>400</v>
      </c>
      <c r="L15" s="11">
        <f t="shared" si="1"/>
        <v>212.5</v>
      </c>
      <c r="M15" s="55">
        <f t="shared" si="0"/>
        <v>25.84615384615384</v>
      </c>
      <c r="N15" s="18">
        <f t="shared" si="2"/>
        <v>388.34615384615381</v>
      </c>
      <c r="O15" s="16">
        <f t="shared" si="3"/>
        <v>400</v>
      </c>
      <c r="P15" s="50"/>
    </row>
    <row r="16" spans="1:16" x14ac:dyDescent="0.2">
      <c r="A16" s="4" t="s">
        <v>11</v>
      </c>
      <c r="B16" s="5"/>
      <c r="C16" s="26" t="s">
        <v>18</v>
      </c>
      <c r="D16" s="13">
        <v>55</v>
      </c>
      <c r="E16" s="5"/>
      <c r="F16" s="26" t="s">
        <v>19</v>
      </c>
      <c r="G16" s="13">
        <v>0.63</v>
      </c>
      <c r="H16" s="6"/>
      <c r="I16" s="42"/>
      <c r="J16" s="42"/>
      <c r="K16" s="11">
        <v>450</v>
      </c>
      <c r="L16" s="11">
        <f t="shared" si="1"/>
        <v>244</v>
      </c>
      <c r="M16" s="55">
        <f t="shared" si="0"/>
        <v>9.1794871794871682</v>
      </c>
      <c r="N16" s="18">
        <f t="shared" si="2"/>
        <v>403.17948717948718</v>
      </c>
      <c r="O16" s="16">
        <f t="shared" si="3"/>
        <v>450</v>
      </c>
      <c r="P16" s="50"/>
    </row>
    <row r="17" spans="1:16" x14ac:dyDescent="0.2">
      <c r="A17" s="4"/>
      <c r="B17" s="5"/>
      <c r="C17" s="26"/>
      <c r="D17" s="5"/>
      <c r="E17" s="5"/>
      <c r="F17" s="26"/>
      <c r="G17" s="5"/>
      <c r="H17" s="6"/>
      <c r="I17" s="42"/>
      <c r="J17" s="42"/>
      <c r="K17" s="12">
        <v>500</v>
      </c>
      <c r="L17" s="12">
        <f t="shared" si="1"/>
        <v>275.5</v>
      </c>
      <c r="M17" s="55">
        <f t="shared" si="0"/>
        <v>-7.4871794871795032</v>
      </c>
      <c r="N17" s="19">
        <f t="shared" si="2"/>
        <v>418.0128205128205</v>
      </c>
      <c r="O17" s="17">
        <f t="shared" si="3"/>
        <v>500</v>
      </c>
      <c r="P17" s="50"/>
    </row>
    <row r="18" spans="1:16" x14ac:dyDescent="0.2">
      <c r="A18" s="7" t="s">
        <v>9</v>
      </c>
      <c r="B18" s="5"/>
      <c r="C18" s="26"/>
      <c r="D18" s="5"/>
      <c r="E18" s="5"/>
      <c r="F18" s="26"/>
      <c r="G18" s="5"/>
      <c r="H18" s="6"/>
      <c r="I18" s="42"/>
      <c r="J18" s="42"/>
      <c r="K18" s="5"/>
      <c r="L18" s="5"/>
      <c r="M18" s="5"/>
      <c r="N18" s="5"/>
      <c r="O18" s="5"/>
      <c r="P18" s="50"/>
    </row>
    <row r="19" spans="1:16" x14ac:dyDescent="0.2">
      <c r="A19" s="4" t="s">
        <v>10</v>
      </c>
      <c r="B19" s="5"/>
      <c r="C19" s="26" t="s">
        <v>46</v>
      </c>
      <c r="D19" s="13">
        <v>47</v>
      </c>
      <c r="E19" s="5"/>
      <c r="F19" s="26" t="s">
        <v>20</v>
      </c>
      <c r="G19" s="13">
        <v>1500</v>
      </c>
      <c r="H19" s="6"/>
      <c r="I19" s="42"/>
      <c r="J19" s="42"/>
      <c r="K19" s="14" t="s">
        <v>37</v>
      </c>
      <c r="L19" s="5"/>
      <c r="M19" s="5"/>
      <c r="N19" s="5"/>
      <c r="O19" s="5"/>
      <c r="P19" s="50"/>
    </row>
    <row r="20" spans="1:16" x14ac:dyDescent="0.2">
      <c r="A20" s="4"/>
      <c r="B20" s="5"/>
      <c r="C20" s="26"/>
      <c r="D20" s="5"/>
      <c r="E20" s="5"/>
      <c r="F20" s="26"/>
      <c r="G20" s="5"/>
      <c r="H20" s="6"/>
      <c r="I20" s="42"/>
      <c r="J20" s="42"/>
      <c r="K20" s="5"/>
      <c r="L20" s="5"/>
      <c r="M20" s="5"/>
      <c r="N20" s="5"/>
      <c r="O20" s="5"/>
      <c r="P20" s="50"/>
    </row>
    <row r="21" spans="1:16" x14ac:dyDescent="0.2">
      <c r="A21" s="7" t="s">
        <v>12</v>
      </c>
      <c r="B21" s="5"/>
      <c r="C21" s="26"/>
      <c r="D21" s="5"/>
      <c r="E21" s="5"/>
      <c r="F21" s="26"/>
      <c r="G21" s="5"/>
      <c r="H21" s="6"/>
      <c r="I21" s="42"/>
      <c r="J21" s="42"/>
      <c r="K21" s="13" t="s">
        <v>30</v>
      </c>
      <c r="L21" s="13" t="s">
        <v>31</v>
      </c>
      <c r="M21" s="13" t="s">
        <v>32</v>
      </c>
      <c r="N21" s="13" t="s">
        <v>35</v>
      </c>
      <c r="O21" s="15" t="s">
        <v>36</v>
      </c>
      <c r="P21" s="50"/>
    </row>
    <row r="22" spans="1:16" x14ac:dyDescent="0.2">
      <c r="A22" s="4" t="s">
        <v>13</v>
      </c>
      <c r="B22" s="5"/>
      <c r="C22" s="26" t="s">
        <v>21</v>
      </c>
      <c r="D22" s="13">
        <v>0.6</v>
      </c>
      <c r="E22" s="5"/>
      <c r="F22" s="26" t="s">
        <v>22</v>
      </c>
      <c r="G22" s="13">
        <v>2700</v>
      </c>
      <c r="H22" s="6"/>
      <c r="I22" s="42"/>
      <c r="J22" s="42"/>
      <c r="K22" s="11">
        <v>0</v>
      </c>
      <c r="L22" s="11">
        <f>a+b*(K22-T)</f>
        <v>-39.5</v>
      </c>
      <c r="M22" s="11">
        <f>K22-L22-G</f>
        <v>-110.5</v>
      </c>
      <c r="N22" s="22">
        <f>(cinv-M22)/d</f>
        <v>0.105</v>
      </c>
      <c r="O22" s="22">
        <f>(e/f)*K22-(1/f)*(M/P)</f>
        <v>-7.478632478632477E-2</v>
      </c>
      <c r="P22" s="62"/>
    </row>
    <row r="23" spans="1:16" x14ac:dyDescent="0.2">
      <c r="A23" s="4"/>
      <c r="B23" s="5"/>
      <c r="C23" s="26"/>
      <c r="D23" s="5"/>
      <c r="E23" s="5"/>
      <c r="F23" s="5"/>
      <c r="G23" s="5"/>
      <c r="H23" s="6"/>
      <c r="I23" s="42"/>
      <c r="J23" s="42"/>
      <c r="K23" s="11">
        <v>50</v>
      </c>
      <c r="L23" s="11">
        <f t="shared" ref="L23:L32" si="4">a+b*(K23-T)</f>
        <v>-8</v>
      </c>
      <c r="M23" s="11">
        <f t="shared" ref="M23:M32" si="5">K23-L23-G</f>
        <v>-92</v>
      </c>
      <c r="N23" s="20">
        <f t="shared" ref="N23:N32" si="6">(cinv-M23)/d</f>
        <v>9.2666666666666661E-2</v>
      </c>
      <c r="O23" s="20">
        <f t="shared" ref="O23:O32" si="7">(e/f)*K23-(1/f)*(M/P)</f>
        <v>-6.3675213675213657E-2</v>
      </c>
      <c r="P23" s="62"/>
    </row>
    <row r="24" spans="1:16" x14ac:dyDescent="0.2">
      <c r="A24" s="7" t="s">
        <v>39</v>
      </c>
      <c r="B24" s="5"/>
      <c r="C24" s="26" t="s">
        <v>38</v>
      </c>
      <c r="D24" s="23">
        <f>f/(f+d*e/(1-b))</f>
        <v>0.52606635071090047</v>
      </c>
      <c r="E24" s="5"/>
      <c r="F24" s="5"/>
      <c r="G24" s="5"/>
      <c r="H24" s="6"/>
      <c r="I24" s="42"/>
      <c r="J24" s="42"/>
      <c r="K24" s="11">
        <v>100</v>
      </c>
      <c r="L24" s="11">
        <f t="shared" si="4"/>
        <v>23.5</v>
      </c>
      <c r="M24" s="11">
        <f t="shared" si="5"/>
        <v>-73.5</v>
      </c>
      <c r="N24" s="20">
        <f t="shared" si="6"/>
        <v>8.033333333333334E-2</v>
      </c>
      <c r="O24" s="20">
        <f t="shared" si="7"/>
        <v>-5.2564102564102551E-2</v>
      </c>
      <c r="P24" s="50"/>
    </row>
    <row r="25" spans="1:16" x14ac:dyDescent="0.2">
      <c r="A25" s="8"/>
      <c r="B25" s="9"/>
      <c r="C25" s="9"/>
      <c r="D25" s="9"/>
      <c r="E25" s="9"/>
      <c r="F25" s="9"/>
      <c r="G25" s="9"/>
      <c r="H25" s="10"/>
      <c r="I25" s="42"/>
      <c r="J25" s="42"/>
      <c r="K25" s="11">
        <v>150</v>
      </c>
      <c r="L25" s="11">
        <f t="shared" si="4"/>
        <v>55</v>
      </c>
      <c r="M25" s="11">
        <f t="shared" si="5"/>
        <v>-55</v>
      </c>
      <c r="N25" s="20">
        <f t="shared" si="6"/>
        <v>6.8000000000000005E-2</v>
      </c>
      <c r="O25" s="20">
        <f t="shared" si="7"/>
        <v>-4.1452991452991438E-2</v>
      </c>
      <c r="P25" s="50"/>
    </row>
    <row r="26" spans="1:16" x14ac:dyDescent="0.2">
      <c r="A26" s="49"/>
      <c r="B26" s="42"/>
      <c r="C26" s="42"/>
      <c r="D26" s="42"/>
      <c r="E26" s="42"/>
      <c r="F26" s="42"/>
      <c r="G26" s="42"/>
      <c r="H26" s="42"/>
      <c r="I26" s="42"/>
      <c r="J26" s="42"/>
      <c r="K26" s="11">
        <v>200</v>
      </c>
      <c r="L26" s="11">
        <f t="shared" si="4"/>
        <v>86.5</v>
      </c>
      <c r="M26" s="11">
        <f t="shared" si="5"/>
        <v>-36.5</v>
      </c>
      <c r="N26" s="20">
        <f t="shared" si="6"/>
        <v>5.566666666666667E-2</v>
      </c>
      <c r="O26" s="20">
        <f t="shared" si="7"/>
        <v>-3.0341880341880331E-2</v>
      </c>
      <c r="P26" s="50"/>
    </row>
    <row r="27" spans="1:16" x14ac:dyDescent="0.2">
      <c r="A27" s="1" t="s">
        <v>52</v>
      </c>
      <c r="B27" s="2"/>
      <c r="C27" s="2"/>
      <c r="D27" s="2"/>
      <c r="E27" s="2"/>
      <c r="F27" s="2"/>
      <c r="G27" s="2"/>
      <c r="H27" s="3"/>
      <c r="I27" s="42"/>
      <c r="J27" s="42"/>
      <c r="K27" s="11">
        <v>250</v>
      </c>
      <c r="L27" s="11">
        <f t="shared" si="4"/>
        <v>118</v>
      </c>
      <c r="M27" s="11">
        <f t="shared" si="5"/>
        <v>-18</v>
      </c>
      <c r="N27" s="20">
        <f t="shared" si="6"/>
        <v>4.3333333333333335E-2</v>
      </c>
      <c r="O27" s="20">
        <f t="shared" si="7"/>
        <v>-1.9230769230769218E-2</v>
      </c>
      <c r="P27" s="50"/>
    </row>
    <row r="28" spans="1:16" x14ac:dyDescent="0.2">
      <c r="A28" s="7"/>
      <c r="B28" s="5"/>
      <c r="C28" s="5"/>
      <c r="D28" s="5"/>
      <c r="E28" s="42"/>
      <c r="F28" s="42"/>
      <c r="G28" s="5"/>
      <c r="H28" s="6"/>
      <c r="I28" s="42"/>
      <c r="J28" s="42"/>
      <c r="K28" s="11">
        <v>300</v>
      </c>
      <c r="L28" s="11">
        <f t="shared" si="4"/>
        <v>149.5</v>
      </c>
      <c r="M28" s="11">
        <f t="shared" si="5"/>
        <v>0.5</v>
      </c>
      <c r="N28" s="20">
        <f t="shared" si="6"/>
        <v>3.1E-2</v>
      </c>
      <c r="O28" s="20">
        <f t="shared" si="7"/>
        <v>-8.1196581196581047E-3</v>
      </c>
      <c r="P28" s="50"/>
    </row>
    <row r="29" spans="1:16" x14ac:dyDescent="0.2">
      <c r="A29" s="7" t="s">
        <v>23</v>
      </c>
      <c r="B29" s="5"/>
      <c r="C29" s="42"/>
      <c r="D29" s="42"/>
      <c r="E29" s="69" t="s">
        <v>45</v>
      </c>
      <c r="F29" s="70"/>
      <c r="G29" s="68"/>
      <c r="H29" s="6"/>
      <c r="I29" s="42"/>
      <c r="J29" s="42"/>
      <c r="K29" s="11">
        <v>350</v>
      </c>
      <c r="L29" s="11">
        <f t="shared" si="4"/>
        <v>181</v>
      </c>
      <c r="M29" s="11">
        <f t="shared" si="5"/>
        <v>19</v>
      </c>
      <c r="N29" s="20">
        <f t="shared" si="6"/>
        <v>1.8666666666666668E-2</v>
      </c>
      <c r="O29" s="20">
        <f t="shared" si="7"/>
        <v>2.9914529914529947E-3</v>
      </c>
      <c r="P29" s="50"/>
    </row>
    <row r="30" spans="1:16" x14ac:dyDescent="0.2">
      <c r="A30" s="4"/>
      <c r="B30" s="5"/>
      <c r="C30" s="28" t="s">
        <v>43</v>
      </c>
      <c r="D30" s="42"/>
      <c r="E30" s="35" t="s">
        <v>42</v>
      </c>
      <c r="F30" s="65" t="s">
        <v>44</v>
      </c>
      <c r="G30" s="66"/>
      <c r="H30" s="6"/>
      <c r="I30" s="42"/>
      <c r="J30" s="42"/>
      <c r="K30" s="11">
        <v>400</v>
      </c>
      <c r="L30" s="11">
        <f t="shared" si="4"/>
        <v>212.5</v>
      </c>
      <c r="M30" s="11">
        <f t="shared" si="5"/>
        <v>37.5</v>
      </c>
      <c r="N30" s="20">
        <f t="shared" si="6"/>
        <v>6.3333333333333332E-3</v>
      </c>
      <c r="O30" s="20">
        <f t="shared" si="7"/>
        <v>1.4102564102564108E-2</v>
      </c>
      <c r="P30" s="50"/>
    </row>
    <row r="31" spans="1:16" x14ac:dyDescent="0.2">
      <c r="A31" s="49"/>
      <c r="B31" s="5"/>
      <c r="C31" s="29"/>
      <c r="D31" s="42"/>
      <c r="E31" s="36"/>
      <c r="F31" s="37" t="s">
        <v>50</v>
      </c>
      <c r="G31" s="38" t="s">
        <v>51</v>
      </c>
      <c r="H31" s="6"/>
      <c r="I31" s="42"/>
      <c r="J31" s="42"/>
      <c r="K31" s="11">
        <v>450</v>
      </c>
      <c r="L31" s="11">
        <f t="shared" si="4"/>
        <v>244</v>
      </c>
      <c r="M31" s="11">
        <f t="shared" si="5"/>
        <v>56</v>
      </c>
      <c r="N31" s="20">
        <f t="shared" si="6"/>
        <v>-6.0000000000000001E-3</v>
      </c>
      <c r="O31" s="20">
        <f t="shared" si="7"/>
        <v>2.5213675213675221E-2</v>
      </c>
      <c r="P31" s="50"/>
    </row>
    <row r="32" spans="1:16" x14ac:dyDescent="0.2">
      <c r="A32" s="7" t="s">
        <v>24</v>
      </c>
      <c r="B32" s="27" t="s">
        <v>55</v>
      </c>
      <c r="C32" s="31">
        <f>x*(a+cinv)/(1-b)+(x/(1-b))*G+((-x*b)/(1-b))*T+(d/((1-b)*(f+d*e/(1-b))))*(M/P)</f>
        <v>383.43055049216184</v>
      </c>
      <c r="D32" s="30" t="s">
        <v>59</v>
      </c>
      <c r="E32" s="33">
        <f>x*(a+cinv)/(1-b)+(x/(1-b))*Gprime+((-x*b)/(1-b))*Tprime+(d/((1-b)*(f+d*e/(1-b))))*(Mprime/P)</f>
        <v>454.52059788552674</v>
      </c>
      <c r="F32" s="34">
        <f>Yprime-C32</f>
        <v>71.090047393364898</v>
      </c>
      <c r="G32" s="39">
        <f>(Yprime-Y)/Y</f>
        <v>0.18540527691941994</v>
      </c>
      <c r="H32" s="6"/>
      <c r="I32" s="42"/>
      <c r="J32" s="42"/>
      <c r="K32" s="12">
        <v>500</v>
      </c>
      <c r="L32" s="12">
        <f t="shared" si="4"/>
        <v>275.5</v>
      </c>
      <c r="M32" s="12">
        <f t="shared" si="5"/>
        <v>74.5</v>
      </c>
      <c r="N32" s="21">
        <f t="shared" si="6"/>
        <v>-1.8333333333333333E-2</v>
      </c>
      <c r="O32" s="21">
        <f t="shared" si="7"/>
        <v>3.6324786324786335E-2</v>
      </c>
      <c r="P32" s="50"/>
    </row>
    <row r="33" spans="1:16" x14ac:dyDescent="0.2">
      <c r="A33" s="4" t="s">
        <v>25</v>
      </c>
      <c r="B33" s="27" t="s">
        <v>56</v>
      </c>
      <c r="C33" s="31">
        <f>a+b*(Y-T)</f>
        <v>202.06124681006196</v>
      </c>
      <c r="D33" s="30" t="s">
        <v>60</v>
      </c>
      <c r="E33" s="33">
        <f>a+b*(Yprime-Tprime)</f>
        <v>246.84797666788185</v>
      </c>
      <c r="F33" s="24">
        <f>E33-C33</f>
        <v>44.786729857819893</v>
      </c>
      <c r="G33" s="40">
        <f>(E33-C33)/C33</f>
        <v>0.22164927993302705</v>
      </c>
      <c r="H33" s="6"/>
      <c r="I33" s="42"/>
      <c r="J33" s="42"/>
      <c r="K33" s="59"/>
      <c r="L33" s="42"/>
      <c r="M33" s="42"/>
      <c r="N33" s="58"/>
      <c r="O33" s="58"/>
      <c r="P33" s="50"/>
    </row>
    <row r="34" spans="1:16" x14ac:dyDescent="0.2">
      <c r="A34" s="4" t="s">
        <v>26</v>
      </c>
      <c r="B34" s="27" t="s">
        <v>57</v>
      </c>
      <c r="C34" s="31">
        <f>cinv-d*IR</f>
        <v>31.36930368209989</v>
      </c>
      <c r="D34" s="30" t="s">
        <v>61</v>
      </c>
      <c r="E34" s="33">
        <f>cinv-d*IRprime</f>
        <v>7.6726212176449238</v>
      </c>
      <c r="F34" s="24">
        <f>E34-C34</f>
        <v>-23.696682464454966</v>
      </c>
      <c r="G34" s="40">
        <f>(E34-C34)/C34</f>
        <v>-0.75540989703181993</v>
      </c>
      <c r="H34" s="6"/>
      <c r="I34" s="42"/>
      <c r="J34" s="42"/>
      <c r="K34" s="56" t="s">
        <v>45</v>
      </c>
      <c r="L34" s="5"/>
      <c r="M34" s="5"/>
      <c r="N34" s="5"/>
      <c r="O34" s="5"/>
      <c r="P34" s="50"/>
    </row>
    <row r="35" spans="1:16" x14ac:dyDescent="0.2">
      <c r="A35" s="4" t="s">
        <v>27</v>
      </c>
      <c r="B35" s="27" t="s">
        <v>58</v>
      </c>
      <c r="C35" s="32">
        <f>(e/f)*Y-(1/f)*(M/P)</f>
        <v>1.0420464211933406E-2</v>
      </c>
      <c r="D35" s="30" t="s">
        <v>62</v>
      </c>
      <c r="E35" s="33">
        <f>(e/f)*Yprime-(1/f)*(Mprime/P)</f>
        <v>2.6218252521570048E-2</v>
      </c>
      <c r="F35" s="25">
        <f>IRprime-IR</f>
        <v>1.5797788309636643E-2</v>
      </c>
      <c r="G35" s="40">
        <f>(IRprime-IR)/IR</f>
        <v>1.5160349854227397</v>
      </c>
      <c r="H35" s="6"/>
      <c r="I35" s="42"/>
      <c r="J35" s="42"/>
      <c r="K35" s="14" t="s">
        <v>54</v>
      </c>
      <c r="L35" s="5"/>
      <c r="M35" s="5"/>
      <c r="N35" s="5"/>
      <c r="O35" s="5"/>
      <c r="P35" s="50"/>
    </row>
    <row r="36" spans="1:16" x14ac:dyDescent="0.2">
      <c r="A36" s="4"/>
      <c r="B36" s="5"/>
      <c r="C36" s="42"/>
      <c r="D36" s="5"/>
      <c r="E36" s="5"/>
      <c r="F36" s="5"/>
      <c r="G36" s="5"/>
      <c r="H36" s="6"/>
      <c r="I36" s="42"/>
      <c r="J36" s="42"/>
      <c r="K36" s="5"/>
      <c r="L36" s="5"/>
      <c r="M36" s="5"/>
      <c r="N36" s="5"/>
      <c r="O36" s="5"/>
      <c r="P36" s="50"/>
    </row>
    <row r="37" spans="1:16" x14ac:dyDescent="0.2">
      <c r="A37" s="4"/>
      <c r="B37" s="5"/>
      <c r="C37" s="42"/>
      <c r="D37" s="5"/>
      <c r="E37" s="5"/>
      <c r="F37" s="5"/>
      <c r="G37" s="5"/>
      <c r="H37" s="6"/>
      <c r="I37" s="42"/>
      <c r="J37" s="42"/>
      <c r="K37" s="13" t="s">
        <v>30</v>
      </c>
      <c r="L37" s="13" t="s">
        <v>31</v>
      </c>
      <c r="M37" s="13" t="s">
        <v>32</v>
      </c>
      <c r="N37" s="13" t="s">
        <v>35</v>
      </c>
      <c r="O37" s="54" t="s">
        <v>36</v>
      </c>
      <c r="P37" s="50"/>
    </row>
    <row r="38" spans="1:16" x14ac:dyDescent="0.2">
      <c r="A38" s="4"/>
      <c r="B38" s="5"/>
      <c r="C38" s="42"/>
      <c r="D38" s="5"/>
      <c r="E38" s="5"/>
      <c r="F38" s="5"/>
      <c r="G38" s="5"/>
      <c r="H38" s="6"/>
      <c r="I38" s="42"/>
      <c r="J38" s="42"/>
      <c r="K38" s="11">
        <v>0</v>
      </c>
      <c r="L38" s="55">
        <f t="shared" ref="L38:L48" si="8">a+b*(K38-Tprime)</f>
        <v>-39.5</v>
      </c>
      <c r="M38" s="55">
        <f t="shared" ref="M38:M48" si="9">K38-L38-Gprime</f>
        <v>-160.5</v>
      </c>
      <c r="N38" s="51">
        <f>(cinv-M38)/d</f>
        <v>0.13833333333333334</v>
      </c>
      <c r="O38" s="22">
        <f t="shared" ref="O38:O48" si="10">(e/f)*K38-(1/f)*(Mprime/P)</f>
        <v>-7.478632478632477E-2</v>
      </c>
      <c r="P38" s="50"/>
    </row>
    <row r="39" spans="1:16" x14ac:dyDescent="0.2">
      <c r="A39" s="4"/>
      <c r="B39" s="5"/>
      <c r="C39" s="42"/>
      <c r="D39" s="5"/>
      <c r="E39" s="5"/>
      <c r="F39" s="5"/>
      <c r="G39" s="5"/>
      <c r="H39" s="6"/>
      <c r="I39" s="42"/>
      <c r="J39" s="42"/>
      <c r="K39" s="11">
        <v>50</v>
      </c>
      <c r="L39" s="11">
        <f t="shared" si="8"/>
        <v>-8</v>
      </c>
      <c r="M39" s="11">
        <f t="shared" si="9"/>
        <v>-142</v>
      </c>
      <c r="N39" s="52">
        <f t="shared" ref="N39:N48" si="11">(cinv-M39)/d</f>
        <v>0.126</v>
      </c>
      <c r="O39" s="20">
        <f t="shared" si="10"/>
        <v>-6.3675213675213657E-2</v>
      </c>
      <c r="P39" s="50"/>
    </row>
    <row r="40" spans="1:16" x14ac:dyDescent="0.2">
      <c r="A40" s="4"/>
      <c r="B40" s="5"/>
      <c r="C40" s="42"/>
      <c r="D40" s="5"/>
      <c r="E40" s="5"/>
      <c r="F40" s="5"/>
      <c r="G40" s="5"/>
      <c r="H40" s="6"/>
      <c r="I40" s="42"/>
      <c r="J40" s="42"/>
      <c r="K40" s="11">
        <v>100</v>
      </c>
      <c r="L40" s="11">
        <f t="shared" si="8"/>
        <v>23.5</v>
      </c>
      <c r="M40" s="11">
        <f t="shared" si="9"/>
        <v>-123.5</v>
      </c>
      <c r="N40" s="52">
        <f t="shared" si="11"/>
        <v>0.11366666666666667</v>
      </c>
      <c r="O40" s="20">
        <f t="shared" si="10"/>
        <v>-5.2564102564102551E-2</v>
      </c>
      <c r="P40" s="50"/>
    </row>
    <row r="41" spans="1:16" x14ac:dyDescent="0.2">
      <c r="A41" s="8"/>
      <c r="B41" s="9"/>
      <c r="C41" s="44"/>
      <c r="D41" s="9"/>
      <c r="E41" s="9"/>
      <c r="F41" s="9"/>
      <c r="G41" s="9"/>
      <c r="H41" s="10"/>
      <c r="I41" s="42"/>
      <c r="J41" s="42"/>
      <c r="K41" s="11">
        <v>150</v>
      </c>
      <c r="L41" s="11">
        <f t="shared" si="8"/>
        <v>55</v>
      </c>
      <c r="M41" s="11">
        <f t="shared" si="9"/>
        <v>-105</v>
      </c>
      <c r="N41" s="52">
        <f t="shared" si="11"/>
        <v>0.10133333333333333</v>
      </c>
      <c r="O41" s="20">
        <f t="shared" si="10"/>
        <v>-4.1452991452991438E-2</v>
      </c>
      <c r="P41" s="50"/>
    </row>
    <row r="42" spans="1:16" x14ac:dyDescent="0.2">
      <c r="A42" s="49"/>
      <c r="B42" s="42"/>
      <c r="C42" s="42"/>
      <c r="D42" s="42"/>
      <c r="E42" s="42"/>
      <c r="F42" s="42"/>
      <c r="G42" s="42"/>
      <c r="H42" s="42"/>
      <c r="I42" s="42"/>
      <c r="J42" s="42"/>
      <c r="K42" s="11">
        <v>200</v>
      </c>
      <c r="L42" s="11">
        <f t="shared" si="8"/>
        <v>86.5</v>
      </c>
      <c r="M42" s="11">
        <f t="shared" si="9"/>
        <v>-86.5</v>
      </c>
      <c r="N42" s="52">
        <f t="shared" si="11"/>
        <v>8.8999999999999996E-2</v>
      </c>
      <c r="O42" s="20">
        <f t="shared" si="10"/>
        <v>-3.0341880341880331E-2</v>
      </c>
      <c r="P42" s="50"/>
    </row>
    <row r="43" spans="1:16" x14ac:dyDescent="0.2">
      <c r="A43" s="49"/>
      <c r="B43" s="42"/>
      <c r="C43" s="42"/>
      <c r="D43" s="42"/>
      <c r="E43" s="42"/>
      <c r="F43" s="42"/>
      <c r="G43" s="42"/>
      <c r="H43" s="42"/>
      <c r="I43" s="42"/>
      <c r="J43" s="42"/>
      <c r="K43" s="11">
        <v>250</v>
      </c>
      <c r="L43" s="11">
        <f t="shared" si="8"/>
        <v>118</v>
      </c>
      <c r="M43" s="11">
        <f t="shared" si="9"/>
        <v>-68</v>
      </c>
      <c r="N43" s="52">
        <f t="shared" si="11"/>
        <v>7.6666666666666661E-2</v>
      </c>
      <c r="O43" s="20">
        <f t="shared" si="10"/>
        <v>-1.9230769230769218E-2</v>
      </c>
      <c r="P43" s="50"/>
    </row>
    <row r="44" spans="1:16" x14ac:dyDescent="0.2">
      <c r="A44" s="63" t="s">
        <v>64</v>
      </c>
      <c r="B44" s="64"/>
      <c r="C44" s="64"/>
      <c r="D44" s="64"/>
      <c r="E44" s="64"/>
      <c r="F44" s="64"/>
      <c r="G44" s="64"/>
      <c r="H44" s="64"/>
      <c r="I44" s="42"/>
      <c r="J44" s="42"/>
      <c r="K44" s="11">
        <v>300</v>
      </c>
      <c r="L44" s="11">
        <f t="shared" si="8"/>
        <v>149.5</v>
      </c>
      <c r="M44" s="11">
        <f t="shared" si="9"/>
        <v>-49.5</v>
      </c>
      <c r="N44" s="52">
        <f t="shared" si="11"/>
        <v>6.433333333333334E-2</v>
      </c>
      <c r="O44" s="20">
        <f t="shared" si="10"/>
        <v>-8.1196581196581047E-3</v>
      </c>
      <c r="P44" s="50"/>
    </row>
    <row r="45" spans="1:16" x14ac:dyDescent="0.2">
      <c r="A45" s="63" t="s">
        <v>65</v>
      </c>
      <c r="B45" s="64"/>
      <c r="C45" s="64"/>
      <c r="D45" s="64"/>
      <c r="E45" s="64">
        <v>300</v>
      </c>
      <c r="F45" s="64">
        <v>350</v>
      </c>
      <c r="G45" s="64">
        <v>400</v>
      </c>
      <c r="H45" s="64"/>
      <c r="I45" s="42"/>
      <c r="J45" s="42"/>
      <c r="K45" s="11">
        <v>350</v>
      </c>
      <c r="L45" s="11">
        <f t="shared" si="8"/>
        <v>181</v>
      </c>
      <c r="M45" s="11">
        <f t="shared" si="9"/>
        <v>-31</v>
      </c>
      <c r="N45" s="52">
        <f t="shared" si="11"/>
        <v>5.1999999999999998E-2</v>
      </c>
      <c r="O45" s="20">
        <f t="shared" si="10"/>
        <v>2.9914529914529947E-3</v>
      </c>
      <c r="P45" s="50"/>
    </row>
    <row r="46" spans="1:16" x14ac:dyDescent="0.2">
      <c r="A46" s="63" t="s">
        <v>66</v>
      </c>
      <c r="B46" s="64"/>
      <c r="C46" s="64"/>
      <c r="D46" s="64"/>
      <c r="E46" s="64">
        <f>IR</f>
        <v>1.0420464211933406E-2</v>
      </c>
      <c r="F46" s="64">
        <f>IR</f>
        <v>1.0420464211933406E-2</v>
      </c>
      <c r="G46" s="64">
        <f>IR</f>
        <v>1.0420464211933406E-2</v>
      </c>
      <c r="H46" s="64"/>
      <c r="I46" s="42"/>
      <c r="J46" s="42"/>
      <c r="K46" s="11">
        <v>400</v>
      </c>
      <c r="L46" s="11">
        <f t="shared" si="8"/>
        <v>212.5</v>
      </c>
      <c r="M46" s="11">
        <f t="shared" si="9"/>
        <v>-12.5</v>
      </c>
      <c r="N46" s="52">
        <f t="shared" si="11"/>
        <v>3.966666666666667E-2</v>
      </c>
      <c r="O46" s="20">
        <f t="shared" si="10"/>
        <v>1.4102564102564108E-2</v>
      </c>
      <c r="P46" s="50"/>
    </row>
    <row r="47" spans="1:16" x14ac:dyDescent="0.2">
      <c r="A47" s="49"/>
      <c r="B47" s="42"/>
      <c r="C47" s="42"/>
      <c r="D47" s="42"/>
      <c r="E47" s="42"/>
      <c r="F47" s="42"/>
      <c r="G47" s="42"/>
      <c r="H47" s="42"/>
      <c r="I47" s="42"/>
      <c r="J47" s="42"/>
      <c r="K47" s="11">
        <v>450</v>
      </c>
      <c r="L47" s="11">
        <f t="shared" si="8"/>
        <v>244</v>
      </c>
      <c r="M47" s="11">
        <f t="shared" si="9"/>
        <v>6</v>
      </c>
      <c r="N47" s="52">
        <f t="shared" si="11"/>
        <v>2.7333333333333334E-2</v>
      </c>
      <c r="O47" s="20">
        <f t="shared" si="10"/>
        <v>2.5213675213675221E-2</v>
      </c>
      <c r="P47" s="50"/>
    </row>
    <row r="48" spans="1:16" x14ac:dyDescent="0.2">
      <c r="A48" s="49"/>
      <c r="B48" s="42"/>
      <c r="C48" s="42"/>
      <c r="D48" s="42"/>
      <c r="E48" s="42"/>
      <c r="F48" s="42"/>
      <c r="G48" s="42"/>
      <c r="H48" s="42"/>
      <c r="I48" s="42"/>
      <c r="J48" s="42"/>
      <c r="K48" s="12">
        <v>500</v>
      </c>
      <c r="L48" s="12">
        <f t="shared" si="8"/>
        <v>275.5</v>
      </c>
      <c r="M48" s="12">
        <f t="shared" si="9"/>
        <v>24.5</v>
      </c>
      <c r="N48" s="53">
        <f t="shared" si="11"/>
        <v>1.4999999999999999E-2</v>
      </c>
      <c r="O48" s="21">
        <f t="shared" si="10"/>
        <v>3.6324786324786335E-2</v>
      </c>
      <c r="P48" s="50"/>
    </row>
    <row r="49" spans="1:16" x14ac:dyDescent="0.2">
      <c r="A49" s="45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6"/>
    </row>
  </sheetData>
  <mergeCells count="3">
    <mergeCell ref="F30:G30"/>
    <mergeCell ref="F7:G7"/>
    <mergeCell ref="E29:G2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60</vt:i4>
      </vt:variant>
    </vt:vector>
  </HeadingPairs>
  <TitlesOfParts>
    <vt:vector size="66" baseType="lpstr">
      <vt:lpstr>solution ex1</vt:lpstr>
      <vt:lpstr>solution ex2</vt:lpstr>
      <vt:lpstr>solution ex3</vt:lpstr>
      <vt:lpstr>Keynesian Cross</vt:lpstr>
      <vt:lpstr>IS-LM</vt:lpstr>
      <vt:lpstr>IS-LM with shifts</vt:lpstr>
      <vt:lpstr>'solution ex1'!a</vt:lpstr>
      <vt:lpstr>'solution ex2'!a</vt:lpstr>
      <vt:lpstr>a</vt:lpstr>
      <vt:lpstr>'solution ex1'!b</vt:lpstr>
      <vt:lpstr>'solution ex2'!b</vt:lpstr>
      <vt:lpstr>b</vt:lpstr>
      <vt:lpstr>'solution ex1'!cinv</vt:lpstr>
      <vt:lpstr>'solution ex2'!cinv</vt:lpstr>
      <vt:lpstr>cinv</vt:lpstr>
      <vt:lpstr>'solution ex1'!cons</vt:lpstr>
      <vt:lpstr>'solution ex2'!cons</vt:lpstr>
      <vt:lpstr>cons</vt:lpstr>
      <vt:lpstr>'solution ex1'!d</vt:lpstr>
      <vt:lpstr>'solution ex2'!d</vt:lpstr>
      <vt:lpstr>d</vt:lpstr>
      <vt:lpstr>'solution ex1'!e</vt:lpstr>
      <vt:lpstr>'solution ex2'!e</vt:lpstr>
      <vt:lpstr>e</vt:lpstr>
      <vt:lpstr>'solution ex1'!f</vt:lpstr>
      <vt:lpstr>'solution ex2'!f</vt:lpstr>
      <vt:lpstr>f</vt:lpstr>
      <vt:lpstr>'solution ex1'!G</vt:lpstr>
      <vt:lpstr>'solution ex2'!G</vt:lpstr>
      <vt:lpstr>G</vt:lpstr>
      <vt:lpstr>'solution ex1'!Gprime</vt:lpstr>
      <vt:lpstr>'solution ex2'!Gprime</vt:lpstr>
      <vt:lpstr>Gprime</vt:lpstr>
      <vt:lpstr>'solution ex1'!IR</vt:lpstr>
      <vt:lpstr>'solution ex2'!IR</vt:lpstr>
      <vt:lpstr>IR</vt:lpstr>
      <vt:lpstr>'solution ex1'!IRprime</vt:lpstr>
      <vt:lpstr>'solution ex2'!IRprime</vt:lpstr>
      <vt:lpstr>IRprime</vt:lpstr>
      <vt:lpstr>'solution ex1'!M</vt:lpstr>
      <vt:lpstr>'solution ex2'!M</vt:lpstr>
      <vt:lpstr>M</vt:lpstr>
      <vt:lpstr>'solution ex1'!Mprime</vt:lpstr>
      <vt:lpstr>'solution ex2'!Mprime</vt:lpstr>
      <vt:lpstr>Mprime</vt:lpstr>
      <vt:lpstr>'solution ex1'!P</vt:lpstr>
      <vt:lpstr>'solution ex2'!P</vt:lpstr>
      <vt:lpstr>P</vt:lpstr>
      <vt:lpstr>'solution ex1'!Print_Area</vt:lpstr>
      <vt:lpstr>'solution ex2'!Print_Area</vt:lpstr>
      <vt:lpstr>'solution ex3'!Print_Area</vt:lpstr>
      <vt:lpstr>'solution ex1'!T</vt:lpstr>
      <vt:lpstr>'solution ex2'!T</vt:lpstr>
      <vt:lpstr>T</vt:lpstr>
      <vt:lpstr>'solution ex1'!Tprime</vt:lpstr>
      <vt:lpstr>'solution ex2'!Tprime</vt:lpstr>
      <vt:lpstr>Tprime</vt:lpstr>
      <vt:lpstr>'solution ex1'!x</vt:lpstr>
      <vt:lpstr>'solution ex2'!x</vt:lpstr>
      <vt:lpstr>x</vt:lpstr>
      <vt:lpstr>'solution ex1'!Y</vt:lpstr>
      <vt:lpstr>'solution ex2'!Y</vt:lpstr>
      <vt:lpstr>Y</vt:lpstr>
      <vt:lpstr>'solution ex1'!Yprime</vt:lpstr>
      <vt:lpstr>'solution ex2'!Yprime</vt:lpstr>
      <vt:lpstr>Yprime</vt:lpstr>
    </vt:vector>
  </TitlesOfParts>
  <Company>Universität Bern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</dc:creator>
  <cp:lastModifiedBy>Thomet Jacqueline</cp:lastModifiedBy>
  <cp:lastPrinted>2013-09-23T15:10:43Z</cp:lastPrinted>
  <dcterms:created xsi:type="dcterms:W3CDTF">2004-09-15T09:23:09Z</dcterms:created>
  <dcterms:modified xsi:type="dcterms:W3CDTF">2016-10-26T06:51:21Z</dcterms:modified>
</cp:coreProperties>
</file>